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nstrucciones de uso" sheetId="1" r:id="rId1"/>
    <sheet name="escenario 24 meses " sheetId="2" r:id="rId2"/>
    <sheet name="escenario 30 meses " sheetId="3" r:id="rId3"/>
    <sheet name="escenario 36 meses" sheetId="4" r:id="rId4"/>
  </sheets>
  <definedNames>
    <definedName name="_xlnm.Print_Area" localSheetId="3">'escenario 36 meses'!$A$1:$AY$61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4" authorId="0">
      <text>
        <r>
          <rPr>
            <sz val="9"/>
            <color indexed="8"/>
            <rFont val="Times New Roman"/>
            <family val="1"/>
          </rPr>
          <t xml:space="preserve">Ponga la tasa que genera intereses durante la emisión de cuotas
</t>
        </r>
      </text>
    </comment>
    <comment ref="B5" authorId="0">
      <text>
        <r>
          <rPr>
            <sz val="9"/>
            <color indexed="8"/>
            <rFont val="Times New Roman"/>
            <family val="1"/>
          </rPr>
          <t xml:space="preserve">Ponga la tasa que genera interés sobre los saldos liberados durante la obra
</t>
        </r>
      </text>
    </comment>
    <comment ref="E9" authorId="0">
      <text>
        <r>
          <rPr>
            <sz val="9"/>
            <color indexed="8"/>
            <rFont val="Times New Roman"/>
            <family val="1"/>
          </rPr>
          <t xml:space="preserve">90% de la suma del valor de tasación teórico tope de viviendas + valor del terreno
</t>
        </r>
      </text>
    </comment>
    <comment ref="E10" authorId="0">
      <text>
        <r>
          <rPr>
            <sz val="9"/>
            <color indexed="8"/>
            <rFont val="Times New Roman"/>
            <family val="1"/>
          </rPr>
          <t xml:space="preserve">85% del total del valor de tasación
</t>
        </r>
      </text>
    </comment>
    <comment ref="E11" authorId="0">
      <text>
        <r>
          <rPr>
            <sz val="9"/>
            <color indexed="8"/>
            <rFont val="Times New Roman"/>
            <family val="1"/>
          </rPr>
          <t xml:space="preserve">No puede ser mayor al préstamo máximo
</t>
        </r>
      </text>
    </comment>
    <comment ref="E12" authorId="0">
      <text>
        <r>
          <rPr>
            <sz val="9"/>
            <color indexed="8"/>
            <rFont val="Times New Roman"/>
            <family val="1"/>
          </rPr>
          <t>calculado sobre el préstamo otorgado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" authorId="0">
      <text>
        <r>
          <rPr>
            <sz val="9"/>
            <color indexed="8"/>
            <rFont val="Times New Roman"/>
            <family val="1"/>
          </rPr>
          <t xml:space="preserve">Ponga la tasa que genera intereses durante la emisión de cuotas
</t>
        </r>
      </text>
    </comment>
    <comment ref="B5" authorId="0">
      <text>
        <r>
          <rPr>
            <sz val="9"/>
            <color indexed="8"/>
            <rFont val="Times New Roman"/>
            <family val="1"/>
          </rPr>
          <t xml:space="preserve">Ponga la tasa que genera interés sobre los saldos liberados durante la obra
</t>
        </r>
      </text>
    </comment>
    <comment ref="AP5" authorId="0">
      <text>
        <r>
          <rPr>
            <sz val="9"/>
            <color indexed="8"/>
            <rFont val="Times New Roman"/>
            <family val="1"/>
          </rPr>
          <t xml:space="preserve">Incluye intereses de obra
</t>
        </r>
      </text>
    </comment>
    <comment ref="AP6" authorId="0">
      <text>
        <r>
          <rPr>
            <sz val="9"/>
            <color indexed="8"/>
            <rFont val="Times New Roman"/>
            <family val="1"/>
          </rPr>
          <t xml:space="preserve">Incluye intereses de obra
</t>
        </r>
      </text>
    </comment>
    <comment ref="E9" authorId="0">
      <text>
        <r>
          <rPr>
            <sz val="9"/>
            <color indexed="8"/>
            <rFont val="Times New Roman"/>
            <family val="1"/>
          </rPr>
          <t xml:space="preserve">90% de la suma del valor de tasación teórico tope de viviendas + valor del terreno
</t>
        </r>
      </text>
    </comment>
    <comment ref="E10" authorId="0">
      <text>
        <r>
          <rPr>
            <sz val="9"/>
            <color indexed="8"/>
            <rFont val="Times New Roman"/>
            <family val="1"/>
          </rPr>
          <t xml:space="preserve">85% del valor de tasación total
</t>
        </r>
      </text>
    </comment>
    <comment ref="E11" authorId="0">
      <text>
        <r>
          <rPr>
            <sz val="9"/>
            <color indexed="8"/>
            <rFont val="Times New Roman"/>
            <family val="1"/>
          </rPr>
          <t xml:space="preserve">No puede ser mayor al préstamo máximo
</t>
        </r>
      </text>
    </comment>
    <comment ref="E12" authorId="0">
      <text>
        <r>
          <rPr>
            <sz val="9"/>
            <color indexed="8"/>
            <rFont val="Times New Roman"/>
            <family val="1"/>
          </rPr>
          <t>calculado sobre el préstamo otorgado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" authorId="0">
      <text>
        <r>
          <rPr>
            <sz val="9"/>
            <color indexed="8"/>
            <rFont val="Times New Roman"/>
            <family val="1"/>
          </rPr>
          <t xml:space="preserve">Ponga la tasa que genera intereses durante la emisión de cuotas
</t>
        </r>
      </text>
    </comment>
    <comment ref="B5" authorId="0">
      <text>
        <r>
          <rPr>
            <sz val="9"/>
            <color indexed="8"/>
            <rFont val="Times New Roman"/>
            <family val="1"/>
          </rPr>
          <t xml:space="preserve">Ponga la tasa que genera interés sobre los saldos liberados durante la obra
</t>
        </r>
      </text>
    </comment>
    <comment ref="E9" authorId="0">
      <text>
        <r>
          <rPr>
            <sz val="9"/>
            <color indexed="8"/>
            <rFont val="Times New Roman"/>
            <family val="1"/>
          </rPr>
          <t xml:space="preserve">90% de la suma del valor de tasación teórico tope de viviendas + valor del terreno
</t>
        </r>
      </text>
    </comment>
    <comment ref="E10" authorId="0">
      <text>
        <r>
          <rPr>
            <sz val="9"/>
            <color indexed="8"/>
            <rFont val="Times New Roman"/>
            <family val="1"/>
          </rPr>
          <t>85% del total del valor de tasación real</t>
        </r>
      </text>
    </comment>
    <comment ref="E11" authorId="0">
      <text>
        <r>
          <rPr>
            <sz val="9"/>
            <color indexed="8"/>
            <rFont val="Times New Roman"/>
            <family val="1"/>
          </rPr>
          <t xml:space="preserve">No puede ser mayor al préstamo máximo
</t>
        </r>
      </text>
    </comment>
    <comment ref="E12" authorId="0">
      <text>
        <r>
          <rPr>
            <sz val="9"/>
            <color indexed="8"/>
            <rFont val="Times New Roman"/>
            <family val="1"/>
          </rPr>
          <t>calculado sobre el préstamo otorgado</t>
        </r>
      </text>
    </comment>
  </commentList>
</comments>
</file>

<file path=xl/sharedStrings.xml><?xml version="1.0" encoding="utf-8"?>
<sst xmlns="http://schemas.openxmlformats.org/spreadsheetml/2006/main" count="170" uniqueCount="89">
  <si>
    <t>INSTRUCCIONES DE USO</t>
  </si>
  <si>
    <t>Completar únicamente los campos con fondo gris</t>
  </si>
  <si>
    <t>Automáticamente se completarán el resto de las celdas</t>
  </si>
  <si>
    <t>Cada una de las hojas plantea un escenario diferente en la cantidad de meses de duración de la obra</t>
  </si>
  <si>
    <t>FINANCIAMIENTO DE OBRA</t>
  </si>
  <si>
    <t>Completar los siguientes campos</t>
  </si>
  <si>
    <t>Tasa efectiva anual - Pago de cuota: es la tasa de interés que afecta el capital adeudado. Afecta el saldo luego de culminada la obra</t>
  </si>
  <si>
    <t>Tasa efectiva anual- interés de obra: es la tasa de interés que afecta el capital liberado. Esta tasa solo aplica durante el periodo de obra</t>
  </si>
  <si>
    <t>Total préstamo Mayores Costos (Ampliación)</t>
  </si>
  <si>
    <t>Nota: los campos de tasas de interés así como valores teóricos de tasación para las viviendas, se establecen por defecto pudiéndose</t>
  </si>
  <si>
    <t>editar de acuerdo a reglamentaciones vigentes.</t>
  </si>
  <si>
    <t>Resultados</t>
  </si>
  <si>
    <t xml:space="preserve">Total del préstamo liberado: trae la suma de montos efectivamente liberados, siempre y cuando ésta sea menor al valor hallado en la celda "Préstamo otorgado - Datos del Proyecto", </t>
  </si>
  <si>
    <t>coincidente con el 85% del total del valor de tasación real</t>
  </si>
  <si>
    <t>DATOS DEL PROYECTO</t>
  </si>
  <si>
    <t>Valor por vivienda: se debe cargar el tope de tasación por vivienda según la cantidad de dormitorios y según la reglamentación vigente</t>
  </si>
  <si>
    <t>Cantidad de viviendas: se debe cargar la cantidad de viviendas a construir en el proyecto según la cantidad de dormitorios</t>
  </si>
  <si>
    <t>Valor terreno: se debe cargar el valor del terreno en el que se localizará el proyecto. Éste no puede superar el 10% del total de valor de tasación del proyecto y su</t>
  </si>
  <si>
    <t xml:space="preserve">expresión debe establecerse en UR </t>
  </si>
  <si>
    <t>Total valor de tasación: se calcula como la suma del total de las viviendas * tope de tasación viviendas*0,90 + valor del terreno</t>
  </si>
  <si>
    <t xml:space="preserve">Total préstamo máximo: 85% del vaor de tasación </t>
  </si>
  <si>
    <t>Aporte cooperativas: 15% del valor de tasación</t>
  </si>
  <si>
    <t>CUOTA MENSUAL</t>
  </si>
  <si>
    <t>Cantidad de cuotas: cantidad de cuotas en las que se amortizará el préstamo</t>
  </si>
  <si>
    <t>Deuda total: es la suma de los montos liberados por préstamo principal y la estimación de la ampliación más los intereses devengados durante la obra</t>
  </si>
  <si>
    <t>Préstamo principal: es la suma de las liberaciones correspondientes a lo escriturado en el préstamo principal</t>
  </si>
  <si>
    <t>Ampliación: se asume que se libera el monto escriturado por concepto de mayores costos</t>
  </si>
  <si>
    <t>Nota: a efectos de este simulador, se supuso que se engtregará el 100% de la ampliación escriturada en forma proporcional al avance de obra (el cual se toma como coincidente con el avance financiero).</t>
  </si>
  <si>
    <t>Cuota mensual CON ampliación: se calcula una estimación de la cuota considerando la utilización de la Ampliación</t>
  </si>
  <si>
    <t>Cuota mensual SIN ampliación: se calcula una estimación de la cuota considerando que NO se utiliza ningún fondo de la Ampliación del préstamo y que el</t>
  </si>
  <si>
    <t>mismo fue amortizado antes de comenzar el proceso de amortización</t>
  </si>
  <si>
    <t>CRONOGRAMA DE LIBERACIÓN DEL PRÉSTAMO</t>
  </si>
  <si>
    <t>Partida Liberada-Préstamo principal: se debe completar en cada mes el monto estimado a liberar de acuerdo al presupuesto cronograma</t>
  </si>
  <si>
    <t>Principal Acumulado: se muesta la suma de lo liberado en cada mes de obra del préstamo principal</t>
  </si>
  <si>
    <t>Intereses Acumulados-Préstamo principal: se muestra la suma de los intereses acumulados en cada mes de obra por concepto de liberaciones del préstamo principal</t>
  </si>
  <si>
    <t>Partida Liberada-Ampliación: se muestra una liberación de la Ampliación del préstamo de forma proporcional a la liberación del préstamo principal, de acuerdo al supuesto explicado más arriba</t>
  </si>
  <si>
    <t>Ampliación Acumulada: se muesta la suma de lo liberado en cada mes de obra de la amplaición del préstamo</t>
  </si>
  <si>
    <t>Intereses Acumulados-Ampliación: se muestra la suma de los intereses acumulados en cada mes de obra por concepto de liberaciones de Ampliación de préstamo</t>
  </si>
  <si>
    <t>SIMULADOR PARA COOPERATIVAS (Reglamentación 2008)</t>
  </si>
  <si>
    <t>Financiamiento de obra</t>
  </si>
  <si>
    <t>Datos del Proyecto</t>
  </si>
  <si>
    <t>Cuota mensual</t>
  </si>
  <si>
    <t>Tasa efectiva anual - Pago de cuota</t>
  </si>
  <si>
    <t>2 dormitorios</t>
  </si>
  <si>
    <t>3 dormitorios</t>
  </si>
  <si>
    <t>4 dormitorios</t>
  </si>
  <si>
    <t>Deuda total</t>
  </si>
  <si>
    <t>Tasa efectiva anual- interés de obra</t>
  </si>
  <si>
    <t>Valor de tasación por vivienda</t>
  </si>
  <si>
    <t>Préstamo principal</t>
  </si>
  <si>
    <t>Moneda</t>
  </si>
  <si>
    <t>UR</t>
  </si>
  <si>
    <t>Cantidad de viviendas</t>
  </si>
  <si>
    <t>Ampliación</t>
  </si>
  <si>
    <t>Total préstamo liberado</t>
  </si>
  <si>
    <t>Cantidad de cuotas</t>
  </si>
  <si>
    <t>Total Ampliación de Préstamo</t>
  </si>
  <si>
    <t>Valor terreno</t>
  </si>
  <si>
    <t>Cuota mesnual CON ampliación</t>
  </si>
  <si>
    <t>valor de tasación real</t>
  </si>
  <si>
    <t>Cuota mesnual SIN ampliación</t>
  </si>
  <si>
    <t>Costo global máximo</t>
  </si>
  <si>
    <t>Préstamo otorgado sobre el costo global</t>
  </si>
  <si>
    <r>
      <t>Nota:</t>
    </r>
    <r>
      <rPr>
        <sz val="11"/>
        <color indexed="8"/>
        <rFont val="Calibri"/>
        <family val="2"/>
      </rPr>
      <t xml:space="preserve"> Todos los valores expresados en esta planilla, son en UR y constituyen una herramienta de aproximación al cálculo de la cuota</t>
    </r>
  </si>
  <si>
    <t>Aporte cooperativas</t>
  </si>
  <si>
    <t>Cronograma de liberación de préstamo</t>
  </si>
  <si>
    <t>Período Mensual</t>
  </si>
  <si>
    <t>Partida Liberada-Préstamo principal</t>
  </si>
  <si>
    <t>Principal Acumulado</t>
  </si>
  <si>
    <t>Intereses Acumulados-Préstamo principal</t>
  </si>
  <si>
    <t>Partida Liberada-Ampliación</t>
  </si>
  <si>
    <t>Ampliación Acumulada</t>
  </si>
  <si>
    <t>Intereses Acumulados-Ampliación</t>
  </si>
  <si>
    <t>Intereses por periodo</t>
  </si>
  <si>
    <t xml:space="preserve"> </t>
  </si>
  <si>
    <t>Período de gracia</t>
  </si>
  <si>
    <t>Monto total adeudado - Préstamo principal</t>
  </si>
  <si>
    <t>Monto total adeudado - Mayores Costos</t>
  </si>
  <si>
    <t>Total Ampliación de Préstamo (mayores costos)</t>
  </si>
  <si>
    <t>Valor de tasación real</t>
  </si>
  <si>
    <t>Monto total adeudado</t>
  </si>
  <si>
    <t>Cantidad cuotas</t>
  </si>
  <si>
    <t>Total ampliación del préstamo (mayores Costos)</t>
  </si>
  <si>
    <t xml:space="preserve">Costo global máximo </t>
  </si>
  <si>
    <r>
      <t>Nota:</t>
    </r>
    <r>
      <rPr>
        <sz val="11"/>
        <color indexed="8"/>
        <rFont val="Calibri"/>
        <family val="2"/>
      </rPr>
      <t xml:space="preserve"> Todos los valores expresados en esta planilla, son en UR y
constituyen una herramienta de aproximación al cálculo de la cuota</t>
    </r>
  </si>
  <si>
    <t xml:space="preserve">Aporte cooperativas </t>
  </si>
  <si>
    <t>Partida Liberada</t>
  </si>
  <si>
    <t>Intereses Acumulados en el período</t>
  </si>
  <si>
    <r>
      <t xml:space="preserve">Notas:
</t>
    </r>
    <r>
      <rPr>
        <sz val="11"/>
        <color indexed="8"/>
        <rFont val="Calibri"/>
        <family val="2"/>
      </rPr>
      <t>1) Período mensual: período de obra
2) Partida liberada: entrega de préstamo por avance de obra
3) Principal acumulado: préstamo otorgado acumulado
4) Intereses acumulados: intereses devengados hasta el período de referencia sobre todas las partidas entregadas
5) Supuestos: para el cálculo de intereses se supone mes vencido en cada período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</si>
</sst>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%"/>
    <numFmt numFmtId="167" formatCode="0.00"/>
    <numFmt numFmtId="168" formatCode="#,##0.00_ ;[RED]\-#,##0.00\ "/>
    <numFmt numFmtId="169" formatCode="#,##0.000000"/>
    <numFmt numFmtId="170" formatCode="0%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63"/>
      <name val="Calibri"/>
      <family val="2"/>
    </font>
    <font>
      <b/>
      <sz val="13"/>
      <color indexed="8"/>
      <name val="Calibri"/>
      <family val="2"/>
    </font>
    <font>
      <b/>
      <sz val="22"/>
      <color indexed="17"/>
      <name val="Calibri"/>
      <family val="2"/>
    </font>
    <font>
      <b/>
      <sz val="19"/>
      <color indexed="17"/>
      <name val="Calibri"/>
      <family val="2"/>
    </font>
    <font>
      <sz val="9"/>
      <color indexed="8"/>
      <name val="Times New Roman"/>
      <family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9"/>
      <color indexed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123">
    <xf numFmtId="164" fontId="0" fillId="0" borderId="0" xfId="0" applyAlignment="1">
      <alignment/>
    </xf>
    <xf numFmtId="164" fontId="0" fillId="4" borderId="0" xfId="0" applyFill="1" applyAlignment="1">
      <alignment/>
    </xf>
    <xf numFmtId="164" fontId="18" fillId="4" borderId="0" xfId="0" applyFont="1" applyFill="1" applyAlignment="1" applyProtection="1">
      <alignment horizontal="left" vertical="center"/>
      <protection locked="0"/>
    </xf>
    <xf numFmtId="164" fontId="17" fillId="4" borderId="0" xfId="0" applyFont="1" applyFill="1" applyAlignment="1">
      <alignment/>
    </xf>
    <xf numFmtId="164" fontId="19" fillId="4" borderId="0" xfId="0" applyFont="1" applyFill="1" applyAlignment="1">
      <alignment/>
    </xf>
    <xf numFmtId="164" fontId="17" fillId="0" borderId="0" xfId="0" applyFont="1" applyAlignment="1">
      <alignment/>
    </xf>
    <xf numFmtId="164" fontId="0" fillId="4" borderId="0" xfId="0" applyFont="1" applyFill="1" applyAlignment="1">
      <alignment/>
    </xf>
    <xf numFmtId="164" fontId="17" fillId="4" borderId="0" xfId="0" applyFont="1" applyFill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4" fontId="0" fillId="4" borderId="0" xfId="0" applyFill="1" applyAlignment="1" applyProtection="1">
      <alignment/>
      <protection/>
    </xf>
    <xf numFmtId="164" fontId="0" fillId="4" borderId="0" xfId="0" applyFill="1" applyAlignment="1" applyProtection="1">
      <alignment horizontal="center" vertical="center"/>
      <protection/>
    </xf>
    <xf numFmtId="164" fontId="18" fillId="4" borderId="0" xfId="0" applyFont="1" applyFill="1" applyAlignment="1" applyProtection="1">
      <alignment horizontal="left" vertical="center"/>
      <protection/>
    </xf>
    <xf numFmtId="165" fontId="0" fillId="4" borderId="0" xfId="0" applyNumberFormat="1" applyFill="1" applyAlignment="1" applyProtection="1">
      <alignment horizontal="center" vertical="center"/>
      <protection/>
    </xf>
    <xf numFmtId="164" fontId="20" fillId="4" borderId="0" xfId="0" applyFont="1" applyFill="1" applyAlignment="1" applyProtection="1">
      <alignment horizontal="left" vertical="center"/>
      <protection/>
    </xf>
    <xf numFmtId="164" fontId="0" fillId="4" borderId="10" xfId="0" applyFill="1" applyBorder="1" applyAlignment="1" applyProtection="1">
      <alignment/>
      <protection/>
    </xf>
    <xf numFmtId="164" fontId="21" fillId="4" borderId="10" xfId="0" applyFont="1" applyFill="1" applyBorder="1" applyAlignment="1" applyProtection="1">
      <alignment horizontal="left" vertical="top"/>
      <protection/>
    </xf>
    <xf numFmtId="164" fontId="0" fillId="4" borderId="10" xfId="0" applyFill="1" applyBorder="1" applyAlignment="1" applyProtection="1">
      <alignment horizontal="center" vertical="center"/>
      <protection/>
    </xf>
    <xf numFmtId="164" fontId="21" fillId="4" borderId="10" xfId="0" applyFont="1" applyFill="1" applyBorder="1" applyAlignment="1" applyProtection="1">
      <alignment/>
      <protection/>
    </xf>
    <xf numFmtId="164" fontId="20" fillId="4" borderId="0" xfId="0" applyFont="1" applyFill="1" applyAlignment="1" applyProtection="1">
      <alignment horizontal="left" vertical="top"/>
      <protection/>
    </xf>
    <xf numFmtId="164" fontId="20" fillId="4" borderId="0" xfId="0" applyFont="1" applyFill="1" applyAlignment="1" applyProtection="1">
      <alignment horizontal="left"/>
      <protection/>
    </xf>
    <xf numFmtId="164" fontId="17" fillId="4" borderId="11" xfId="0" applyFont="1" applyFill="1" applyBorder="1" applyAlignment="1" applyProtection="1">
      <alignment horizontal="left" vertical="center" wrapText="1"/>
      <protection/>
    </xf>
    <xf numFmtId="166" fontId="23" fillId="17" borderId="12" xfId="0" applyNumberFormat="1" applyFont="1" applyFill="1" applyBorder="1" applyAlignment="1" applyProtection="1">
      <alignment horizontal="center" vertical="center" wrapText="1"/>
      <protection locked="0"/>
    </xf>
    <xf numFmtId="164" fontId="17" fillId="4" borderId="12" xfId="0" applyFont="1" applyFill="1" applyBorder="1" applyAlignment="1" applyProtection="1">
      <alignment horizontal="center" vertical="center" wrapText="1"/>
      <protection/>
    </xf>
    <xf numFmtId="165" fontId="24" fillId="4" borderId="12" xfId="0" applyNumberFormat="1" applyFont="1" applyFill="1" applyBorder="1" applyAlignment="1" applyProtection="1">
      <alignment vertical="center"/>
      <protection/>
    </xf>
    <xf numFmtId="164" fontId="0" fillId="4" borderId="0" xfId="0" applyFill="1" applyAlignment="1" applyProtection="1">
      <alignment horizontal="center" vertical="center" wrapText="1"/>
      <protection/>
    </xf>
    <xf numFmtId="164" fontId="25" fillId="4" borderId="0" xfId="0" applyFont="1" applyFill="1" applyAlignment="1" applyProtection="1">
      <alignment horizontal="center" vertical="center" wrapText="1"/>
      <protection/>
    </xf>
    <xf numFmtId="164" fontId="0" fillId="17" borderId="12" xfId="0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vertical="center" wrapText="1"/>
      <protection/>
    </xf>
    <xf numFmtId="164" fontId="26" fillId="4" borderId="11" xfId="0" applyFont="1" applyFill="1" applyBorder="1" applyAlignment="1" applyProtection="1">
      <alignment horizontal="right" vertical="center" wrapText="1"/>
      <protection/>
    </xf>
    <xf numFmtId="165" fontId="26" fillId="4" borderId="12" xfId="0" applyNumberFormat="1" applyFont="1" applyFill="1" applyBorder="1" applyAlignment="1" applyProtection="1">
      <alignment vertical="center"/>
      <protection/>
    </xf>
    <xf numFmtId="164" fontId="23" fillId="4" borderId="13" xfId="0" applyFont="1" applyFill="1" applyBorder="1" applyAlignment="1" applyProtection="1">
      <alignment horizontal="center" vertical="center"/>
      <protection/>
    </xf>
    <xf numFmtId="164" fontId="25" fillId="4" borderId="0" xfId="0" applyFont="1" applyFill="1" applyAlignment="1" applyProtection="1">
      <alignment horizontal="center" vertical="center"/>
      <protection/>
    </xf>
    <xf numFmtId="164" fontId="0" fillId="17" borderId="12" xfId="0" applyFill="1" applyBorder="1" applyAlignment="1" applyProtection="1">
      <alignment horizontal="center" vertical="center" wrapText="1"/>
      <protection locked="0"/>
    </xf>
    <xf numFmtId="164" fontId="17" fillId="4" borderId="12" xfId="0" applyFont="1" applyFill="1" applyBorder="1" applyAlignment="1" applyProtection="1">
      <alignment horizontal="left" vertical="center" wrapText="1"/>
      <protection/>
    </xf>
    <xf numFmtId="164" fontId="0" fillId="4" borderId="12" xfId="0" applyFill="1" applyBorder="1" applyAlignment="1" applyProtection="1">
      <alignment horizontal="center" vertical="center"/>
      <protection/>
    </xf>
    <xf numFmtId="164" fontId="23" fillId="17" borderId="12" xfId="0" applyFont="1" applyFill="1" applyBorder="1" applyAlignment="1" applyProtection="1">
      <alignment vertical="center"/>
      <protection locked="0"/>
    </xf>
    <xf numFmtId="164" fontId="23" fillId="17" borderId="12" xfId="0" applyFont="1" applyFill="1" applyBorder="1" applyAlignment="1" applyProtection="1">
      <alignment horizontal="center" vertical="center"/>
      <protection locked="0"/>
    </xf>
    <xf numFmtId="167" fontId="0" fillId="17" borderId="12" xfId="0" applyNumberFormat="1" applyFill="1" applyBorder="1" applyAlignment="1" applyProtection="1">
      <alignment horizontal="center" vertical="center" wrapText="1"/>
      <protection locked="0"/>
    </xf>
    <xf numFmtId="168" fontId="24" fillId="4" borderId="12" xfId="0" applyNumberFormat="1" applyFont="1" applyFill="1" applyBorder="1" applyAlignment="1" applyProtection="1">
      <alignment vertical="center"/>
      <protection/>
    </xf>
    <xf numFmtId="167" fontId="0" fillId="4" borderId="12" xfId="0" applyNumberFormat="1" applyFill="1" applyBorder="1" applyAlignment="1" applyProtection="1">
      <alignment horizontal="center" vertical="center"/>
      <protection/>
    </xf>
    <xf numFmtId="168" fontId="24" fillId="4" borderId="0" xfId="0" applyNumberFormat="1" applyFont="1" applyFill="1" applyBorder="1" applyAlignment="1" applyProtection="1">
      <alignment vertical="center"/>
      <protection/>
    </xf>
    <xf numFmtId="167" fontId="0" fillId="17" borderId="12" xfId="0" applyNumberFormat="1" applyFill="1" applyBorder="1" applyAlignment="1" applyProtection="1">
      <alignment horizontal="center" vertical="center"/>
      <protection locked="0"/>
    </xf>
    <xf numFmtId="164" fontId="0" fillId="0" borderId="14" xfId="0" applyFill="1" applyBorder="1" applyAlignment="1" applyProtection="1">
      <alignment vertical="center" wrapText="1"/>
      <protection/>
    </xf>
    <xf numFmtId="164" fontId="0" fillId="0" borderId="0" xfId="0" applyFill="1" applyBorder="1" applyAlignment="1" applyProtection="1">
      <alignment vertical="center" wrapText="1"/>
      <protection/>
    </xf>
    <xf numFmtId="164" fontId="25" fillId="4" borderId="0" xfId="0" applyFont="1" applyFill="1" applyAlignment="1" applyProtection="1">
      <alignment/>
      <protection/>
    </xf>
    <xf numFmtId="165" fontId="25" fillId="4" borderId="0" xfId="0" applyNumberFormat="1" applyFont="1" applyFill="1" applyAlignment="1" applyProtection="1">
      <alignment horizontal="center" vertical="center"/>
      <protection/>
    </xf>
    <xf numFmtId="164" fontId="21" fillId="4" borderId="10" xfId="0" applyFont="1" applyFill="1" applyBorder="1" applyAlignment="1" applyProtection="1">
      <alignment horizontal="left"/>
      <protection/>
    </xf>
    <xf numFmtId="164" fontId="24" fillId="10" borderId="11" xfId="0" applyFont="1" applyFill="1" applyBorder="1" applyAlignment="1" applyProtection="1">
      <alignment horizontal="center" vertical="center" wrapText="1"/>
      <protection/>
    </xf>
    <xf numFmtId="164" fontId="24" fillId="10" borderId="15" xfId="0" applyFont="1" applyFill="1" applyBorder="1" applyAlignment="1" applyProtection="1">
      <alignment horizontal="center" vertical="center" wrapText="1"/>
      <protection/>
    </xf>
    <xf numFmtId="165" fontId="24" fillId="10" borderId="16" xfId="0" applyNumberFormat="1" applyFont="1" applyFill="1" applyBorder="1" applyAlignment="1" applyProtection="1">
      <alignment horizontal="center" vertical="center" wrapText="1"/>
      <protection/>
    </xf>
    <xf numFmtId="165" fontId="24" fillId="10" borderId="0" xfId="0" applyNumberFormat="1" applyFont="1" applyFill="1" applyBorder="1" applyAlignment="1" applyProtection="1">
      <alignment horizontal="center" vertical="center" wrapText="1"/>
      <protection/>
    </xf>
    <xf numFmtId="164" fontId="25" fillId="10" borderId="0" xfId="0" applyFont="1" applyFill="1" applyAlignment="1" applyProtection="1">
      <alignment horizontal="center" vertical="center" wrapText="1"/>
      <protection/>
    </xf>
    <xf numFmtId="164" fontId="0" fillId="10" borderId="0" xfId="0" applyFill="1" applyAlignment="1" applyProtection="1">
      <alignment horizontal="center" vertical="center" wrapText="1"/>
      <protection/>
    </xf>
    <xf numFmtId="164" fontId="0" fillId="4" borderId="0" xfId="0" applyFill="1" applyBorder="1" applyAlignment="1" applyProtection="1">
      <alignment horizontal="left" vertical="center" wrapText="1"/>
      <protection/>
    </xf>
    <xf numFmtId="164" fontId="24" fillId="10" borderId="17" xfId="0" applyFont="1" applyFill="1" applyBorder="1" applyAlignment="1" applyProtection="1">
      <alignment/>
      <protection/>
    </xf>
    <xf numFmtId="165" fontId="25" fillId="17" borderId="17" xfId="0" applyNumberFormat="1" applyFont="1" applyFill="1" applyBorder="1" applyAlignment="1" applyProtection="1">
      <alignment horizontal="center" vertical="center"/>
      <protection locked="0"/>
    </xf>
    <xf numFmtId="165" fontId="24" fillId="10" borderId="17" xfId="0" applyNumberFormat="1" applyFont="1" applyFill="1" applyBorder="1" applyAlignment="1" applyProtection="1">
      <alignment horizontal="center" vertical="center"/>
      <protection/>
    </xf>
    <xf numFmtId="165" fontId="25" fillId="10" borderId="18" xfId="0" applyNumberFormat="1" applyFont="1" applyFill="1" applyBorder="1" applyAlignment="1" applyProtection="1">
      <alignment horizontal="center" vertical="center"/>
      <protection/>
    </xf>
    <xf numFmtId="169" fontId="24" fillId="10" borderId="0" xfId="0" applyNumberFormat="1" applyFont="1" applyFill="1" applyBorder="1" applyAlignment="1" applyProtection="1">
      <alignment horizontal="center" vertical="center"/>
      <protection/>
    </xf>
    <xf numFmtId="165" fontId="25" fillId="10" borderId="0" xfId="0" applyNumberFormat="1" applyFont="1" applyFill="1" applyAlignment="1" applyProtection="1">
      <alignment horizontal="center" vertical="center"/>
      <protection/>
    </xf>
    <xf numFmtId="164" fontId="0" fillId="10" borderId="0" xfId="0" applyFill="1" applyAlignment="1" applyProtection="1">
      <alignment/>
      <protection/>
    </xf>
    <xf numFmtId="164" fontId="24" fillId="10" borderId="18" xfId="0" applyFont="1" applyFill="1" applyBorder="1" applyAlignment="1" applyProtection="1">
      <alignment/>
      <protection/>
    </xf>
    <xf numFmtId="165" fontId="25" fillId="17" borderId="18" xfId="0" applyNumberFormat="1" applyFont="1" applyFill="1" applyBorder="1" applyAlignment="1" applyProtection="1">
      <alignment horizontal="center" vertical="center"/>
      <protection locked="0"/>
    </xf>
    <xf numFmtId="165" fontId="24" fillId="10" borderId="18" xfId="0" applyNumberFormat="1" applyFont="1" applyFill="1" applyBorder="1" applyAlignment="1" applyProtection="1">
      <alignment horizontal="center" vertical="center"/>
      <protection/>
    </xf>
    <xf numFmtId="164" fontId="0" fillId="4" borderId="0" xfId="0" applyFill="1" applyAlignment="1" applyProtection="1">
      <alignment wrapText="1"/>
      <protection/>
    </xf>
    <xf numFmtId="164" fontId="24" fillId="10" borderId="18" xfId="0" applyFont="1" applyFill="1" applyBorder="1" applyAlignment="1" applyProtection="1">
      <alignment wrapText="1"/>
      <protection/>
    </xf>
    <xf numFmtId="165" fontId="24" fillId="10" borderId="18" xfId="0" applyNumberFormat="1" applyFont="1" applyFill="1" applyBorder="1" applyAlignment="1" applyProtection="1">
      <alignment horizontal="center" vertical="center" wrapText="1"/>
      <protection/>
    </xf>
    <xf numFmtId="169" fontId="24" fillId="10" borderId="0" xfId="0" applyNumberFormat="1" applyFont="1" applyFill="1" applyBorder="1" applyAlignment="1" applyProtection="1">
      <alignment horizontal="center" vertical="center" wrapText="1"/>
      <protection/>
    </xf>
    <xf numFmtId="165" fontId="25" fillId="10" borderId="0" xfId="0" applyNumberFormat="1" applyFont="1" applyFill="1" applyAlignment="1" applyProtection="1">
      <alignment horizontal="center" vertical="center" wrapText="1"/>
      <protection/>
    </xf>
    <xf numFmtId="164" fontId="0" fillId="10" borderId="0" xfId="0" applyFill="1" applyAlignment="1" applyProtection="1">
      <alignment wrapText="1"/>
      <protection/>
    </xf>
    <xf numFmtId="164" fontId="0" fillId="0" borderId="0" xfId="0" applyAlignment="1" applyProtection="1">
      <alignment wrapText="1"/>
      <protection/>
    </xf>
    <xf numFmtId="165" fontId="24" fillId="10" borderId="13" xfId="0" applyNumberFormat="1" applyFont="1" applyFill="1" applyBorder="1" applyAlignment="1" applyProtection="1">
      <alignment horizontal="center" vertical="center"/>
      <protection/>
    </xf>
    <xf numFmtId="165" fontId="24" fillId="24" borderId="12" xfId="0" applyNumberFormat="1" applyFont="1" applyFill="1" applyBorder="1" applyAlignment="1" applyProtection="1">
      <alignment horizontal="center" vertical="center" wrapText="1"/>
      <protection/>
    </xf>
    <xf numFmtId="164" fontId="25" fillId="10" borderId="0" xfId="0" applyFont="1" applyFill="1" applyAlignment="1" applyProtection="1">
      <alignment horizontal="center" vertical="center"/>
      <protection/>
    </xf>
    <xf numFmtId="164" fontId="27" fillId="10" borderId="11" xfId="0" applyFont="1" applyFill="1" applyBorder="1" applyAlignment="1" applyProtection="1">
      <alignment/>
      <protection/>
    </xf>
    <xf numFmtId="165" fontId="27" fillId="10" borderId="16" xfId="0" applyNumberFormat="1" applyFont="1" applyFill="1" applyBorder="1" applyAlignment="1" applyProtection="1">
      <alignment horizontal="center" vertical="center" wrapText="1"/>
      <protection/>
    </xf>
    <xf numFmtId="164" fontId="0" fillId="10" borderId="0" xfId="0" applyFill="1" applyAlignment="1" applyProtection="1">
      <alignment horizontal="center" vertical="center"/>
      <protection/>
    </xf>
    <xf numFmtId="165" fontId="27" fillId="10" borderId="19" xfId="0" applyNumberFormat="1" applyFont="1" applyFill="1" applyBorder="1" applyAlignment="1" applyProtection="1">
      <alignment vertical="center"/>
      <protection/>
    </xf>
    <xf numFmtId="165" fontId="27" fillId="10" borderId="15" xfId="0" applyNumberFormat="1" applyFont="1" applyFill="1" applyBorder="1" applyAlignment="1" applyProtection="1">
      <alignment horizontal="center" vertical="center"/>
      <protection/>
    </xf>
    <xf numFmtId="165" fontId="27" fillId="10" borderId="16" xfId="0" applyNumberFormat="1" applyFont="1" applyFill="1" applyBorder="1" applyAlignment="1" applyProtection="1">
      <alignment horizontal="center" vertical="center"/>
      <protection/>
    </xf>
    <xf numFmtId="165" fontId="27" fillId="10" borderId="20" xfId="0" applyNumberFormat="1" applyFont="1" applyFill="1" applyBorder="1" applyAlignment="1" applyProtection="1">
      <alignment vertical="center"/>
      <protection/>
    </xf>
    <xf numFmtId="164" fontId="28" fillId="4" borderId="10" xfId="0" applyFont="1" applyFill="1" applyBorder="1" applyAlignment="1" applyProtection="1">
      <alignment/>
      <protection/>
    </xf>
    <xf numFmtId="164" fontId="28" fillId="4" borderId="10" xfId="0" applyFont="1" applyFill="1" applyBorder="1" applyAlignment="1" applyProtection="1">
      <alignment horizontal="center" vertical="center"/>
      <protection/>
    </xf>
    <xf numFmtId="164" fontId="28" fillId="10" borderId="10" xfId="0" applyFont="1" applyFill="1" applyBorder="1" applyAlignment="1" applyProtection="1">
      <alignment/>
      <protection/>
    </xf>
    <xf numFmtId="164" fontId="28" fillId="0" borderId="10" xfId="0" applyFont="1" applyBorder="1" applyAlignment="1" applyProtection="1">
      <alignment/>
      <protection/>
    </xf>
    <xf numFmtId="164" fontId="28" fillId="0" borderId="0" xfId="0" applyFont="1" applyAlignment="1" applyProtection="1">
      <alignment/>
      <protection/>
    </xf>
    <xf numFmtId="164" fontId="0" fillId="0" borderId="0" xfId="0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/>
      <protection/>
    </xf>
    <xf numFmtId="164" fontId="0" fillId="10" borderId="10" xfId="0" applyFill="1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4" fontId="0" fillId="0" borderId="0" xfId="0" applyFill="1" applyAlignment="1" applyProtection="1">
      <alignment wrapText="1"/>
      <protection/>
    </xf>
    <xf numFmtId="165" fontId="24" fillId="10" borderId="12" xfId="0" applyNumberFormat="1" applyFont="1" applyFill="1" applyBorder="1" applyAlignment="1" applyProtection="1">
      <alignment horizontal="center" vertical="center"/>
      <protection/>
    </xf>
    <xf numFmtId="165" fontId="27" fillId="10" borderId="15" xfId="0" applyNumberFormat="1" applyFont="1" applyFill="1" applyBorder="1" applyAlignment="1" applyProtection="1">
      <alignment vertical="center"/>
      <protection/>
    </xf>
    <xf numFmtId="165" fontId="27" fillId="10" borderId="16" xfId="0" applyNumberFormat="1" applyFont="1" applyFill="1" applyBorder="1" applyAlignment="1" applyProtection="1">
      <alignment vertical="center"/>
      <protection/>
    </xf>
    <xf numFmtId="165" fontId="27" fillId="10" borderId="11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4" fontId="0" fillId="4" borderId="0" xfId="0" applyFill="1" applyBorder="1" applyAlignment="1" applyProtection="1">
      <alignment horizontal="center" vertical="center"/>
      <protection/>
    </xf>
    <xf numFmtId="164" fontId="18" fillId="4" borderId="0" xfId="0" applyFont="1" applyFill="1" applyBorder="1" applyAlignment="1" applyProtection="1">
      <alignment horizontal="left" vertical="center"/>
      <protection/>
    </xf>
    <xf numFmtId="165" fontId="0" fillId="4" borderId="0" xfId="0" applyNumberFormat="1" applyFill="1" applyBorder="1" applyAlignment="1" applyProtection="1">
      <alignment horizontal="center" vertical="center"/>
      <protection/>
    </xf>
    <xf numFmtId="164" fontId="0" fillId="4" borderId="10" xfId="0" applyFill="1" applyBorder="1" applyAlignment="1" applyProtection="1">
      <alignment horizontal="center"/>
      <protection/>
    </xf>
    <xf numFmtId="165" fontId="0" fillId="4" borderId="10" xfId="0" applyNumberFormat="1" applyFill="1" applyBorder="1" applyAlignment="1" applyProtection="1">
      <alignment horizontal="center" vertical="center"/>
      <protection/>
    </xf>
    <xf numFmtId="164" fontId="17" fillId="4" borderId="10" xfId="0" applyFont="1" applyFill="1" applyBorder="1" applyAlignment="1" applyProtection="1">
      <alignment horizontal="left" vertical="center" wrapText="1"/>
      <protection/>
    </xf>
    <xf numFmtId="164" fontId="20" fillId="4" borderId="0" xfId="0" applyFont="1" applyFill="1" applyBorder="1" applyAlignment="1" applyProtection="1">
      <alignment horizontal="left"/>
      <protection/>
    </xf>
    <xf numFmtId="164" fontId="0" fillId="4" borderId="0" xfId="0" applyFill="1" applyBorder="1" applyAlignment="1" applyProtection="1">
      <alignment horizontal="center"/>
      <protection/>
    </xf>
    <xf numFmtId="164" fontId="25" fillId="4" borderId="0" xfId="0" applyFont="1" applyFill="1" applyBorder="1" applyAlignment="1" applyProtection="1">
      <alignment horizontal="center" vertical="center" wrapText="1"/>
      <protection/>
    </xf>
    <xf numFmtId="164" fontId="25" fillId="4" borderId="0" xfId="0" applyFont="1" applyFill="1" applyBorder="1" applyAlignment="1" applyProtection="1">
      <alignment horizontal="center" vertical="center"/>
      <protection/>
    </xf>
    <xf numFmtId="165" fontId="25" fillId="4" borderId="0" xfId="0" applyNumberFormat="1" applyFont="1" applyFill="1" applyBorder="1" applyAlignment="1" applyProtection="1">
      <alignment horizontal="center" vertical="center" wrapText="1"/>
      <protection/>
    </xf>
    <xf numFmtId="164" fontId="0" fillId="4" borderId="0" xfId="0" applyFill="1" applyBorder="1" applyAlignment="1" applyProtection="1">
      <alignment horizontal="center" vertical="center" wrapText="1"/>
      <protection/>
    </xf>
    <xf numFmtId="165" fontId="25" fillId="4" borderId="0" xfId="0" applyNumberFormat="1" applyFont="1" applyFill="1" applyBorder="1" applyAlignment="1" applyProtection="1">
      <alignment horizontal="center" vertical="center"/>
      <protection/>
    </xf>
    <xf numFmtId="164" fontId="0" fillId="4" borderId="21" xfId="0" applyFill="1" applyBorder="1" applyAlignment="1" applyProtection="1">
      <alignment/>
      <protection/>
    </xf>
    <xf numFmtId="164" fontId="17" fillId="4" borderId="21" xfId="0" applyFont="1" applyFill="1" applyBorder="1" applyAlignment="1" applyProtection="1">
      <alignment horizontal="left" vertical="center" wrapText="1"/>
      <protection/>
    </xf>
    <xf numFmtId="168" fontId="24" fillId="4" borderId="21" xfId="0" applyNumberFormat="1" applyFont="1" applyFill="1" applyBorder="1" applyAlignment="1" applyProtection="1">
      <alignment vertical="center"/>
      <protection/>
    </xf>
    <xf numFmtId="164" fontId="25" fillId="4" borderId="21" xfId="0" applyFont="1" applyFill="1" applyBorder="1" applyAlignment="1" applyProtection="1">
      <alignment horizontal="center" vertical="center"/>
      <protection/>
    </xf>
    <xf numFmtId="165" fontId="25" fillId="4" borderId="21" xfId="0" applyNumberFormat="1" applyFont="1" applyFill="1" applyBorder="1" applyAlignment="1" applyProtection="1">
      <alignment horizontal="center" vertical="center"/>
      <protection/>
    </xf>
    <xf numFmtId="164" fontId="21" fillId="4" borderId="0" xfId="0" applyFont="1" applyFill="1" applyAlignment="1" applyProtection="1">
      <alignment horizontal="left"/>
      <protection/>
    </xf>
    <xf numFmtId="164" fontId="17" fillId="10" borderId="12" xfId="0" applyFont="1" applyFill="1" applyBorder="1" applyAlignment="1" applyProtection="1">
      <alignment horizontal="left" vertical="center" wrapText="1"/>
      <protection/>
    </xf>
    <xf numFmtId="165" fontId="25" fillId="10" borderId="17" xfId="0" applyNumberFormat="1" applyFont="1" applyFill="1" applyBorder="1" applyAlignment="1" applyProtection="1">
      <alignment horizontal="center" vertical="center"/>
      <protection/>
    </xf>
    <xf numFmtId="166" fontId="27" fillId="10" borderId="11" xfId="19" applyNumberFormat="1" applyFont="1" applyFill="1" applyBorder="1" applyAlignment="1" applyProtection="1">
      <alignment horizontal="center" vertical="center"/>
      <protection/>
    </xf>
    <xf numFmtId="166" fontId="27" fillId="10" borderId="15" xfId="19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E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704850</xdr:colOff>
      <xdr:row>2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288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0</xdr:row>
      <xdr:rowOff>333375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257175</xdr:colOff>
      <xdr:row>0</xdr:row>
      <xdr:rowOff>333375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240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209550</xdr:colOff>
      <xdr:row>0</xdr:row>
      <xdr:rowOff>333375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240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workbookViewId="0" topLeftCell="A1">
      <selection activeCell="G32" sqref="G32"/>
    </sheetView>
  </sheetViews>
  <sheetFormatPr defaultColWidth="11.421875" defaultRowHeight="15"/>
  <sheetData>
    <row r="1" spans="2:17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7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>
      <c r="A5" s="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>
      <c r="A6" s="3" t="s">
        <v>2</v>
      </c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>
      <c r="A7" s="3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3.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6.5">
      <c r="A9" s="4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8.25" customHeight="1">
      <c r="A10" s="3"/>
      <c r="B10" s="3"/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5" customFormat="1" ht="13.5">
      <c r="A11" s="3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5" customFormat="1" ht="13.5">
      <c r="A12" s="6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5" customFormat="1" ht="13.5">
      <c r="A13" s="6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5" customFormat="1" ht="13.5">
      <c r="A14" s="6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5" customFormat="1" ht="13.5">
      <c r="A15" s="6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5" customFormat="1" ht="13.5">
      <c r="A16" s="6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5" customFormat="1" ht="13.5">
      <c r="A17" s="3" t="s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5" customFormat="1" ht="13.5">
      <c r="A18" s="6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5" customFormat="1" ht="13.5">
      <c r="A19" s="6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5" customFormat="1" ht="13.5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5" customFormat="1" ht="16.5">
      <c r="A21" s="4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5" customFormat="1" ht="9" customHeight="1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5" customFormat="1" ht="13.5">
      <c r="A23" s="3" t="s">
        <v>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5" customFormat="1" ht="13.5">
      <c r="A24" s="6" t="s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5" customFormat="1" ht="13.5">
      <c r="A25" s="6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5" customFormat="1" ht="13.5">
      <c r="A26" s="6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5" customFormat="1" ht="13.5">
      <c r="A27" s="6" t="s">
        <v>18</v>
      </c>
      <c r="B27" s="3"/>
      <c r="C27" s="3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5" customFormat="1" ht="13.5">
      <c r="A28" s="6"/>
      <c r="B28" s="3"/>
      <c r="C28" s="3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s="5" customFormat="1" ht="13.5">
      <c r="A29" s="3" t="s">
        <v>11</v>
      </c>
      <c r="B29" s="3"/>
      <c r="C29" s="3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s="5" customFormat="1" ht="13.5">
      <c r="A30" s="6" t="s">
        <v>19</v>
      </c>
      <c r="B30" s="3"/>
      <c r="C30" s="3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s="5" customFormat="1" ht="13.5">
      <c r="A31" s="6" t="s">
        <v>20</v>
      </c>
      <c r="B31" s="3"/>
      <c r="C31" s="3"/>
      <c r="D31" s="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s="5" customFormat="1" ht="13.5">
      <c r="A32" s="6" t="s">
        <v>21</v>
      </c>
      <c r="B32" s="3"/>
      <c r="C32" s="3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s="5" customFormat="1" ht="13.5">
      <c r="A33" s="6"/>
      <c r="B33" s="3"/>
      <c r="C33" s="3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s="5" customFormat="1" ht="16.5">
      <c r="A34" s="4" t="s">
        <v>22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s="5" customFormat="1" ht="7.5" customHeight="1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s="5" customFormat="1" ht="13.5">
      <c r="A36" s="3" t="s">
        <v>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s="5" customFormat="1" ht="13.5">
      <c r="A37" s="6" t="s">
        <v>23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5" customFormat="1" ht="13.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5" customFormat="1" ht="13.5">
      <c r="A39" s="3" t="s">
        <v>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s="5" customFormat="1" ht="13.5">
      <c r="A40" s="6" t="s">
        <v>24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s="5" customFormat="1" ht="13.5">
      <c r="A41" s="6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s="5" customFormat="1" ht="13.5">
      <c r="A42" s="6" t="s">
        <v>26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s="5" customFormat="1" ht="13.5">
      <c r="A43" s="6" t="s">
        <v>27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s="5" customFormat="1" ht="13.5">
      <c r="A44" s="6" t="s">
        <v>28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s="5" customFormat="1" ht="13.5">
      <c r="A45" s="6" t="s">
        <v>29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s="5" customFormat="1" ht="13.5">
      <c r="A46" s="6" t="s">
        <v>30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s="5" customFormat="1" ht="13.5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s="5" customFormat="1" ht="16.5">
      <c r="A48" s="4" t="s">
        <v>31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s="5" customFormat="1" ht="7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s="5" customFormat="1" ht="13.5">
      <c r="A50" s="3" t="s">
        <v>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s="5" customFormat="1" ht="13.5">
      <c r="A51" s="6" t="s">
        <v>32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s="5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s="5" customFormat="1" ht="13.5">
      <c r="A53" s="3" t="s">
        <v>11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s="5" customFormat="1" ht="13.5">
      <c r="A54" s="6" t="s">
        <v>33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s="5" customFormat="1" ht="13.5">
      <c r="A55" s="6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s="5" customFormat="1" ht="13.5">
      <c r="A56" s="6" t="s">
        <v>35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s="5" customFormat="1" ht="13.5">
      <c r="A57" s="6" t="s">
        <v>36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s="5" customFormat="1" ht="13.5">
      <c r="A58" s="6" t="s">
        <v>37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s="5" customFormat="1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s="5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s="5" customFormat="1" ht="13.5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s="5" customFormat="1" ht="13.5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3.5">
      <c r="A63" s="3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3.5">
      <c r="A64" s="3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3.5">
      <c r="A65" s="3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3.5">
      <c r="A66" s="3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3.5">
      <c r="A67" s="3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3.5">
      <c r="A68" s="3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</sheetData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18"/>
  <sheetViews>
    <sheetView showGridLines="0" tabSelected="1" workbookViewId="0" topLeftCell="A1">
      <selection activeCell="G10" sqref="G10"/>
    </sheetView>
  </sheetViews>
  <sheetFormatPr defaultColWidth="11.421875" defaultRowHeight="15"/>
  <cols>
    <col min="1" max="1" width="2.421875" style="8" customWidth="1"/>
    <col min="2" max="2" width="24.57421875" style="8" customWidth="1"/>
    <col min="3" max="3" width="16.57421875" style="9" customWidth="1"/>
    <col min="4" max="4" width="11.421875" style="9" customWidth="1"/>
    <col min="5" max="5" width="16.28125" style="10" customWidth="1"/>
    <col min="6" max="6" width="14.28125" style="10" customWidth="1"/>
    <col min="7" max="8" width="13.00390625" style="10" customWidth="1"/>
    <col min="9" max="9" width="0" style="10" hidden="1" customWidth="1"/>
    <col min="10" max="10" width="0" style="9" hidden="1" customWidth="1"/>
    <col min="11" max="34" width="0" style="8" hidden="1" customWidth="1"/>
    <col min="35" max="35" width="11.421875" style="8" customWidth="1"/>
    <col min="36" max="36" width="19.7109375" style="8" customWidth="1"/>
    <col min="37" max="37" width="16.140625" style="8" customWidth="1"/>
    <col min="38" max="16384" width="11.421875" style="8" customWidth="1"/>
  </cols>
  <sheetData>
    <row r="1" spans="1:37" ht="27">
      <c r="A1" s="11"/>
      <c r="C1" s="12"/>
      <c r="D1" s="13" t="s">
        <v>38</v>
      </c>
      <c r="E1" s="14"/>
      <c r="F1" s="15"/>
      <c r="G1" s="11"/>
      <c r="H1" s="11"/>
      <c r="I1" s="14"/>
      <c r="J1" s="12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9" s="8" customFormat="1" ht="23.25">
      <c r="A2" s="16"/>
      <c r="B2" s="17" t="s">
        <v>39</v>
      </c>
      <c r="C2" s="18"/>
      <c r="D2" s="18"/>
      <c r="E2" s="19" t="s">
        <v>40</v>
      </c>
      <c r="F2" s="19"/>
      <c r="G2" s="19"/>
      <c r="H2" s="19"/>
      <c r="J2" s="18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7" t="s">
        <v>41</v>
      </c>
      <c r="AK2" s="16"/>
      <c r="AM2"/>
    </row>
    <row r="3" spans="1:37" s="8" customFormat="1" ht="7.5" customHeight="1">
      <c r="A3" s="11"/>
      <c r="B3" s="20"/>
      <c r="C3" s="12"/>
      <c r="D3" s="12"/>
      <c r="E3" s="21"/>
      <c r="F3" s="11"/>
      <c r="G3" s="11"/>
      <c r="H3" s="11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20"/>
      <c r="AK3" s="11"/>
    </row>
    <row r="4" spans="1:37" s="8" customFormat="1" ht="45">
      <c r="A4" s="11"/>
      <c r="B4" s="22" t="s">
        <v>42</v>
      </c>
      <c r="C4" s="23">
        <v>0.02</v>
      </c>
      <c r="D4" s="12"/>
      <c r="E4" s="11"/>
      <c r="F4" s="24" t="s">
        <v>43</v>
      </c>
      <c r="G4" s="24" t="s">
        <v>44</v>
      </c>
      <c r="H4" s="24" t="s">
        <v>45</v>
      </c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22" t="s">
        <v>46</v>
      </c>
      <c r="AK4" s="25">
        <f>D48+G48</f>
        <v>412.17670434609437</v>
      </c>
    </row>
    <row r="5" spans="1:37" s="29" customFormat="1" ht="45">
      <c r="A5" s="26"/>
      <c r="B5" s="22" t="s">
        <v>47</v>
      </c>
      <c r="C5" s="23">
        <v>0.07</v>
      </c>
      <c r="D5" s="27"/>
      <c r="E5" s="24" t="s">
        <v>48</v>
      </c>
      <c r="F5" s="28">
        <v>500</v>
      </c>
      <c r="G5" s="28">
        <v>500</v>
      </c>
      <c r="H5" s="28">
        <v>500</v>
      </c>
      <c r="J5" s="27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30" t="s">
        <v>49</v>
      </c>
      <c r="AK5" s="31">
        <f>D48</f>
        <v>353.294318010938</v>
      </c>
    </row>
    <row r="6" spans="1:37" s="8" customFormat="1" ht="30">
      <c r="A6" s="11"/>
      <c r="B6" s="22" t="s">
        <v>50</v>
      </c>
      <c r="C6" s="32" t="s">
        <v>51</v>
      </c>
      <c r="D6" s="33"/>
      <c r="E6" s="24" t="s">
        <v>52</v>
      </c>
      <c r="F6" s="34">
        <v>1</v>
      </c>
      <c r="G6" s="34">
        <v>1</v>
      </c>
      <c r="H6" s="34">
        <v>1</v>
      </c>
      <c r="J6" s="3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0" t="s">
        <v>53</v>
      </c>
      <c r="AK6" s="31">
        <f>G48</f>
        <v>58.88238633515633</v>
      </c>
    </row>
    <row r="7" spans="1:37" s="8" customFormat="1" ht="20.25" customHeight="1">
      <c r="A7" s="11"/>
      <c r="B7" s="35" t="s">
        <v>54</v>
      </c>
      <c r="C7" s="36">
        <f>IF(D41&gt;MIN(F10,F11),"el préstamo no puede superar el 85% del total del presupuesto ni ser mayor al préstamo otorgado",D41)</f>
        <v>300</v>
      </c>
      <c r="D7" s="33"/>
      <c r="E7" s="26"/>
      <c r="F7" s="26"/>
      <c r="G7" s="26"/>
      <c r="H7" s="26"/>
      <c r="J7" s="3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22" t="s">
        <v>55</v>
      </c>
      <c r="AK7" s="37">
        <v>300</v>
      </c>
    </row>
    <row r="8" spans="1:37" s="8" customFormat="1" ht="27.75">
      <c r="A8" s="11"/>
      <c r="B8" s="35" t="s">
        <v>56</v>
      </c>
      <c r="C8" s="38">
        <v>50</v>
      </c>
      <c r="D8" s="33"/>
      <c r="E8" s="35" t="s">
        <v>57</v>
      </c>
      <c r="F8" s="39">
        <v>200</v>
      </c>
      <c r="G8" s="26"/>
      <c r="H8" s="26"/>
      <c r="J8" s="3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2" t="s">
        <v>58</v>
      </c>
      <c r="AK8" s="40">
        <f>+IF(ISERROR(PMT(((1+$C$4)^(0.0833333333333333)-1),AK7,-AK4)),0,PMT(((1+$C$4)^(0.0833333333333333)-1),AK7,-AK4))</f>
        <v>1.7433986110658615</v>
      </c>
    </row>
    <row r="9" spans="1:37" s="8" customFormat="1" ht="30">
      <c r="A9" s="11"/>
      <c r="B9" s="7"/>
      <c r="C9" s="33"/>
      <c r="D9" s="33"/>
      <c r="E9" s="35" t="s">
        <v>59</v>
      </c>
      <c r="F9" s="41">
        <f>0.9*(F5*F6+G5*G6+H5*H6)+F8</f>
        <v>1550</v>
      </c>
      <c r="G9" s="11"/>
      <c r="H9" s="11"/>
      <c r="J9" s="3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22" t="s">
        <v>60</v>
      </c>
      <c r="AK9" s="40">
        <f>+IF(ISERROR(PMT(((1+$C$4)^(0.0833333333333333)-1),AK7,-AK5)),0,PMT(((1+$C$4)^(0.0833333333333333)-1),AK7,-AK5))</f>
        <v>1.4943416666278813</v>
      </c>
    </row>
    <row r="10" spans="1:37" s="8" customFormat="1" ht="30">
      <c r="A10" s="11"/>
      <c r="B10" s="7"/>
      <c r="C10" s="33"/>
      <c r="D10" s="33"/>
      <c r="E10" s="35" t="s">
        <v>61</v>
      </c>
      <c r="F10" s="41">
        <f>0.85*F9</f>
        <v>1317.5</v>
      </c>
      <c r="G10" s="11"/>
      <c r="H10" s="11"/>
      <c r="J10" s="3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7"/>
      <c r="AK10" s="42"/>
    </row>
    <row r="11" spans="1:43" ht="45" customHeight="1">
      <c r="A11" s="11"/>
      <c r="B11" s="7"/>
      <c r="C11" s="33"/>
      <c r="D11" s="33"/>
      <c r="E11" s="35" t="s">
        <v>62</v>
      </c>
      <c r="F11" s="43">
        <v>1100</v>
      </c>
      <c r="G11" s="11"/>
      <c r="H11" s="35" t="s">
        <v>63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44"/>
      <c r="AM11" s="45"/>
      <c r="AN11" s="45"/>
      <c r="AO11" s="45"/>
      <c r="AP11" s="45"/>
      <c r="AQ11" s="45"/>
    </row>
    <row r="12" spans="1:37" ht="30">
      <c r="A12" s="11"/>
      <c r="B12" s="46"/>
      <c r="C12" s="33"/>
      <c r="D12" s="33"/>
      <c r="E12" s="35" t="s">
        <v>64</v>
      </c>
      <c r="F12" s="41">
        <f>0.15*F11/0.85</f>
        <v>194.11764705882354</v>
      </c>
      <c r="G12" s="11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t="13.5">
      <c r="A13" s="11"/>
      <c r="B13" s="46"/>
      <c r="C13" s="33"/>
      <c r="D13" s="33"/>
      <c r="E13" s="47"/>
      <c r="F13" s="47"/>
      <c r="G13" s="47"/>
      <c r="H13" s="47"/>
      <c r="I13" s="47"/>
      <c r="J13" s="3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23.25">
      <c r="A14" s="48"/>
      <c r="B14" s="48" t="s">
        <v>65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37" ht="13.5">
      <c r="A15" s="11"/>
      <c r="B15" s="46"/>
      <c r="C15" s="33"/>
      <c r="D15" s="33"/>
      <c r="E15" s="47"/>
      <c r="F15" s="47"/>
      <c r="G15" s="47"/>
      <c r="H15" s="47"/>
      <c r="I15" s="47"/>
      <c r="J15" s="3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s="29" customFormat="1" ht="48.75">
      <c r="A16" s="26"/>
      <c r="B16" s="49" t="s">
        <v>66</v>
      </c>
      <c r="C16" s="50" t="s">
        <v>67</v>
      </c>
      <c r="D16" s="50" t="s">
        <v>68</v>
      </c>
      <c r="E16" s="51" t="s">
        <v>69</v>
      </c>
      <c r="F16" s="50" t="s">
        <v>70</v>
      </c>
      <c r="G16" s="50" t="s">
        <v>71</v>
      </c>
      <c r="H16" s="51" t="s">
        <v>72</v>
      </c>
      <c r="I16" s="52" t="s">
        <v>73</v>
      </c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26"/>
      <c r="AI16" s="55"/>
      <c r="AJ16" s="55"/>
      <c r="AK16" s="55"/>
    </row>
    <row r="17" spans="1:37" ht="13.5">
      <c r="A17" s="11"/>
      <c r="B17" s="56">
        <v>1</v>
      </c>
      <c r="C17" s="57">
        <v>100</v>
      </c>
      <c r="D17" s="58">
        <f>+SUM(C17)</f>
        <v>100</v>
      </c>
      <c r="E17" s="58">
        <f>+SUM(J17:AG17)</f>
        <v>0.5654145387405274</v>
      </c>
      <c r="F17" s="59">
        <f>IF(ISERROR($C$8*C17/$D$41),0,$C$8*C17/$D$41)</f>
        <v>16.666666666666668</v>
      </c>
      <c r="G17" s="58">
        <f>F17</f>
        <v>16.666666666666668</v>
      </c>
      <c r="H17" s="58">
        <f>I17</f>
        <v>0.09423575645675457</v>
      </c>
      <c r="I17" s="60">
        <f>(SUM($F$17:F17))*(((1+$C$5)^(1/12))-1)</f>
        <v>0.09423575645675457</v>
      </c>
      <c r="J17" s="61">
        <f>+IF(ISERROR((POWER(POWER(1+$C$5,1/12),1)-1)*C17),0,((POWER(POWER(1+$C$5,1/12),1)-1)*C17))</f>
        <v>0.5654145387405274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1"/>
      <c r="AI17" s="55"/>
      <c r="AJ17" s="55"/>
      <c r="AK17" s="55"/>
    </row>
    <row r="18" spans="1:37" ht="13.5">
      <c r="A18" s="11"/>
      <c r="B18" s="63">
        <f>+B17+1</f>
        <v>2</v>
      </c>
      <c r="C18" s="64">
        <v>100</v>
      </c>
      <c r="D18" s="65">
        <f>+SUM($C$17:C18)</f>
        <v>200</v>
      </c>
      <c r="E18" s="65">
        <f aca="true" t="shared" si="0" ref="E18:E40">+SUM(J18:AG18)</f>
        <v>1.6994405522277711</v>
      </c>
      <c r="F18" s="59">
        <f>IF(ISERROR($C$8*C18/$D$41),0,$C$8*C18/$D$41)</f>
        <v>16.666666666666668</v>
      </c>
      <c r="G18" s="65">
        <f>F18+G17</f>
        <v>33.333333333333336</v>
      </c>
      <c r="H18" s="65">
        <f>I18+H17</f>
        <v>0.2832400920379623</v>
      </c>
      <c r="I18" s="60">
        <f>(SUM($F$17:F18)+H17)*(((1+$C$5)^(1/12))-1)</f>
        <v>0.18900433558120774</v>
      </c>
      <c r="J18" s="61">
        <f aca="true" t="shared" si="1" ref="J18:J40">+IF(ISERROR((POWER(POWER(1+$C$5,1/12),1)-1)*C18),0,((POWER(POWER(1+$C$5,1/12),1)-1)*C18))</f>
        <v>0.5654145387405274</v>
      </c>
      <c r="K18" s="61">
        <f>+IF(ISERROR((POWER(POWER(1+$C$5,1/12),B18)-1)*$C$17),0,((POWER(POWER(1+$C$5,1/12),B18)-1)*$C$17))</f>
        <v>1.1340260134872437</v>
      </c>
      <c r="L18" s="62"/>
      <c r="M18" s="62"/>
      <c r="N18" s="62" t="s">
        <v>74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11"/>
      <c r="AI18" s="55"/>
      <c r="AJ18" s="55"/>
      <c r="AK18" s="55"/>
    </row>
    <row r="19" spans="1:37" ht="13.5">
      <c r="A19" s="11"/>
      <c r="B19" s="63">
        <f aca="true" t="shared" si="2" ref="B19:B39">+B18+1</f>
        <v>3</v>
      </c>
      <c r="C19" s="64">
        <v>100</v>
      </c>
      <c r="D19" s="65">
        <f>+SUM($C$17:C19)</f>
        <v>300</v>
      </c>
      <c r="E19" s="65">
        <f>+SUM(J19:AG19)</f>
        <v>3.4052930524089087</v>
      </c>
      <c r="F19" s="59">
        <f aca="true" t="shared" si="3" ref="F19:F40">IF(ISERROR($C$8*C19/$D$41),0,$C$8*C19/$D$41)</f>
        <v>16.666666666666668</v>
      </c>
      <c r="G19" s="65">
        <f>F19+G18</f>
        <v>50</v>
      </c>
      <c r="H19" s="65">
        <f>I19+H18</f>
        <v>0.5675488420681507</v>
      </c>
      <c r="I19" s="60">
        <f>(SUM($F$17:F19)+H18)*(((1+$C$5)^(1/12))-1)</f>
        <v>0.2843087500301884</v>
      </c>
      <c r="J19" s="61">
        <f t="shared" si="1"/>
        <v>0.5654145387405274</v>
      </c>
      <c r="K19" s="61">
        <f aca="true" t="shared" si="4" ref="K19:K40">+IF(ISERROR((POWER(POWER(1+$C$5,1/12),B19)-1)*$C$17),0,((POWER(POWER(1+$C$5,1/12),B19)-1)*$C$17))</f>
        <v>1.7058525001811375</v>
      </c>
      <c r="L19" s="61">
        <f>+IF(ISERROR((POWER(POWER(1+$C$5,1/12),B18)-1)*$C$18),0,((POWER(POWER(1+$C$5,1/12),B18)-1)*$C$18))</f>
        <v>1.1340260134872437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"/>
      <c r="AI19" s="55"/>
      <c r="AJ19" s="55"/>
      <c r="AK19" s="55"/>
    </row>
    <row r="20" spans="1:37" ht="13.5">
      <c r="A20" s="11"/>
      <c r="B20" s="63">
        <f t="shared" si="2"/>
        <v>4</v>
      </c>
      <c r="C20" s="64"/>
      <c r="D20" s="65">
        <f>+SUM($C$17:C20)</f>
        <v>300</v>
      </c>
      <c r="E20" s="65">
        <f t="shared" si="0"/>
        <v>5.120790690635535</v>
      </c>
      <c r="F20" s="59">
        <f t="shared" si="3"/>
        <v>0</v>
      </c>
      <c r="G20" s="65">
        <f aca="true" t="shared" si="5" ref="G20:G40">F20+G19</f>
        <v>50</v>
      </c>
      <c r="H20" s="65">
        <f>I20+H19</f>
        <v>0.8534651151059212</v>
      </c>
      <c r="I20" s="60">
        <f>(SUM($F$17:F20)+H19)*(((1+$C$5)^(1/12))-1)</f>
        <v>0.2859162730377705</v>
      </c>
      <c r="J20" s="61">
        <f t="shared" si="1"/>
        <v>0</v>
      </c>
      <c r="K20" s="61">
        <f t="shared" si="4"/>
        <v>2.2809121769671536</v>
      </c>
      <c r="L20" s="61">
        <f aca="true" t="shared" si="6" ref="L20:L40">+IF(ISERROR((POWER(POWER(1+$C$5,1/12),B19)-1)*$C$18),0,((POWER(POWER(1+$C$5,1/12),B19)-1)*$C$18))</f>
        <v>1.7058525001811375</v>
      </c>
      <c r="M20" s="61">
        <f>+IF(ISERROR((POWER(POWER(1+$C$5,1/12),$B20-2)-1)*$C$19),0,((POWER(POWER(1+$C$5,1/12),$B20-2)-1)*$C$19))</f>
        <v>1.1340260134872437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1"/>
      <c r="AI20" s="55"/>
      <c r="AJ20" s="55"/>
      <c r="AK20" s="55"/>
    </row>
    <row r="21" spans="1:37" ht="13.5">
      <c r="A21" s="11"/>
      <c r="B21" s="63">
        <f t="shared" si="2"/>
        <v>5</v>
      </c>
      <c r="C21" s="64"/>
      <c r="D21" s="65">
        <f>+SUM($C$17:C21)</f>
        <v>300</v>
      </c>
      <c r="E21" s="65">
        <f t="shared" si="0"/>
        <v>6.845988001920444</v>
      </c>
      <c r="F21" s="59">
        <f t="shared" si="3"/>
        <v>0</v>
      </c>
      <c r="G21" s="65">
        <f t="shared" si="5"/>
        <v>50</v>
      </c>
      <c r="H21" s="65">
        <f>I21+H20</f>
        <v>1.1409980003200724</v>
      </c>
      <c r="I21" s="60">
        <f>(SUM($F$17:F21)+H20)*(((1+$C$5)^(1/12))-1)</f>
        <v>0.28753288521415116</v>
      </c>
      <c r="J21" s="61">
        <f t="shared" si="1"/>
        <v>0</v>
      </c>
      <c r="K21" s="61">
        <f t="shared" si="4"/>
        <v>2.8592233247721532</v>
      </c>
      <c r="L21" s="61">
        <f t="shared" si="6"/>
        <v>2.2809121769671536</v>
      </c>
      <c r="M21" s="61">
        <f aca="true" t="shared" si="7" ref="M21:M40">+IF(ISERROR((POWER(POWER(1+$C$5,1/12),$B21-2)-1)*$C$19),0,((POWER(POWER(1+$C$5,1/12),$B21-2)-1)*$C$19))</f>
        <v>1.7058525001811375</v>
      </c>
      <c r="N21" s="61">
        <f>+IF(ISERROR((POWER(POWER(1+$C$5,1/12),$B21-3)-1)*$C$20),0,((POWER(POWER(1+$C$5,1/12),$B21-3)-1)*$C$20))</f>
        <v>0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1"/>
      <c r="AI21" s="55"/>
      <c r="AJ21" s="55"/>
      <c r="AK21" s="55"/>
    </row>
    <row r="22" spans="1:37" ht="13.5">
      <c r="A22" s="11"/>
      <c r="B22" s="63">
        <f t="shared" si="2"/>
        <v>6</v>
      </c>
      <c r="C22" s="64"/>
      <c r="D22" s="65">
        <f>+SUM($C$17:C22)</f>
        <v>300</v>
      </c>
      <c r="E22" s="65">
        <f t="shared" si="0"/>
        <v>8.580939829625311</v>
      </c>
      <c r="F22" s="59">
        <f t="shared" si="3"/>
        <v>0</v>
      </c>
      <c r="G22" s="65">
        <f t="shared" si="5"/>
        <v>50</v>
      </c>
      <c r="H22" s="65">
        <f aca="true" t="shared" si="8" ref="H22:H39">I22+H21</f>
        <v>1.4301566382708844</v>
      </c>
      <c r="I22" s="60">
        <f>(SUM($F$17:F22)+H21)*(((1+$C$5)^(1/12))-1)</f>
        <v>0.2891586379508121</v>
      </c>
      <c r="J22" s="61">
        <f t="shared" si="1"/>
        <v>0</v>
      </c>
      <c r="K22" s="61">
        <f t="shared" si="4"/>
        <v>3.4408043278860045</v>
      </c>
      <c r="L22" s="61">
        <f t="shared" si="6"/>
        <v>2.8592233247721532</v>
      </c>
      <c r="M22" s="61">
        <f t="shared" si="7"/>
        <v>2.2809121769671536</v>
      </c>
      <c r="N22" s="61">
        <f aca="true" t="shared" si="9" ref="N22:N40">+IF(ISERROR((POWER(POWER(1+$C$5,1/12),$B22-3)-1)*$C$20),0,((POWER(POWER(1+$C$5,1/12),$B22-3)-1)*$C$20))</f>
        <v>0</v>
      </c>
      <c r="O22" s="61">
        <f>+IF(ISERROR((POWER(POWER(1+$C$5,1/12),$B22-4)-1)*$C$21),0,((POWER(POWER(1+$C$5,1/12),$B22-4)-1)*$C$21))</f>
        <v>0</v>
      </c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11"/>
      <c r="AI22" s="55"/>
      <c r="AJ22" s="55"/>
      <c r="AK22" s="55"/>
    </row>
    <row r="23" spans="1:37" ht="13.5">
      <c r="A23" s="11"/>
      <c r="B23" s="63">
        <f t="shared" si="2"/>
        <v>7</v>
      </c>
      <c r="C23" s="64"/>
      <c r="D23" s="65">
        <f>+SUM($C$17:C23)</f>
        <v>300</v>
      </c>
      <c r="E23" s="65">
        <f t="shared" si="0"/>
        <v>10.325701327204161</v>
      </c>
      <c r="F23" s="59">
        <f t="shared" si="3"/>
        <v>0</v>
      </c>
      <c r="G23" s="65">
        <f t="shared" si="5"/>
        <v>50</v>
      </c>
      <c r="H23" s="65">
        <f t="shared" si="8"/>
        <v>1.7209502212006944</v>
      </c>
      <c r="I23" s="60">
        <f>(SUM($F$17:F23)+H22)*(((1+$C$5)^(1/12))-1)</f>
        <v>0.29079358292981006</v>
      </c>
      <c r="J23" s="61">
        <f t="shared" si="1"/>
        <v>0</v>
      </c>
      <c r="K23" s="61">
        <f t="shared" si="4"/>
        <v>4.025673674546004</v>
      </c>
      <c r="L23" s="61">
        <f t="shared" si="6"/>
        <v>3.4408043278860045</v>
      </c>
      <c r="M23" s="61">
        <f t="shared" si="7"/>
        <v>2.8592233247721532</v>
      </c>
      <c r="N23" s="61">
        <f t="shared" si="9"/>
        <v>0</v>
      </c>
      <c r="O23" s="61">
        <f aca="true" t="shared" si="10" ref="O23:O40">+IF(ISERROR((POWER(POWER(1+$C$5,1/12),$B23-4)-1)*$C$21),0,((POWER(POWER(1+$C$5,1/12),$B23-4)-1)*$C$21))</f>
        <v>0</v>
      </c>
      <c r="P23" s="61">
        <f>+IF(ISERROR((POWER(POWER(1+$C$5,1/12),$B23-5)-1)*$C$22),0,((POWER(POWER(1+$C$5,1/12),$B23-5)-1)*$C$22))</f>
        <v>0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11"/>
      <c r="AI23" s="55"/>
      <c r="AJ23" s="55"/>
      <c r="AK23" s="55"/>
    </row>
    <row r="24" spans="1:37" ht="13.5">
      <c r="A24" s="11"/>
      <c r="B24" s="63">
        <f t="shared" si="2"/>
        <v>8</v>
      </c>
      <c r="C24" s="64"/>
      <c r="D24" s="65">
        <f>+SUM($C$17:C24)</f>
        <v>300</v>
      </c>
      <c r="E24" s="65">
        <f t="shared" si="0"/>
        <v>12.080327959956684</v>
      </c>
      <c r="F24" s="59">
        <f t="shared" si="3"/>
        <v>0</v>
      </c>
      <c r="G24" s="65">
        <f t="shared" si="5"/>
        <v>50</v>
      </c>
      <c r="H24" s="65">
        <f t="shared" si="8"/>
        <v>2.013387993326114</v>
      </c>
      <c r="I24" s="60">
        <f>(SUM($F$17:F24)+H23)*(((1+$C$5)^(1/12))-1)</f>
        <v>0.2924377721254197</v>
      </c>
      <c r="J24" s="61">
        <f t="shared" si="1"/>
        <v>0</v>
      </c>
      <c r="K24" s="61">
        <f t="shared" si="4"/>
        <v>4.613849957524674</v>
      </c>
      <c r="L24" s="61">
        <f t="shared" si="6"/>
        <v>4.025673674546004</v>
      </c>
      <c r="M24" s="61">
        <f t="shared" si="7"/>
        <v>3.4408043278860045</v>
      </c>
      <c r="N24" s="61">
        <f t="shared" si="9"/>
        <v>0</v>
      </c>
      <c r="O24" s="61">
        <f t="shared" si="10"/>
        <v>0</v>
      </c>
      <c r="P24" s="61">
        <f aca="true" t="shared" si="11" ref="P24:P40">+IF(ISERROR((POWER(POWER(1+$C$5,1/12),$B24-5)-1)*$C$22),0,((POWER(POWER(1+$C$5,1/12),$B24-5)-1)*$C$22))</f>
        <v>0</v>
      </c>
      <c r="Q24" s="61">
        <f>+IF(ISERROR((POWER(POWER(1+$C$5,1/12),$B24-6)-1)*$C$23),0,((POWER(POWER(1+$C$5,1/12),$B24-6)-1)*$C$23))</f>
        <v>0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1"/>
      <c r="AI24" s="55"/>
      <c r="AJ24" s="55"/>
      <c r="AK24" s="55"/>
    </row>
    <row r="25" spans="1:37" ht="13.5">
      <c r="A25" s="11"/>
      <c r="B25" s="63">
        <f t="shared" si="2"/>
        <v>9</v>
      </c>
      <c r="C25" s="64"/>
      <c r="D25" s="65">
        <f>+SUM($C$17:C25)</f>
        <v>300</v>
      </c>
      <c r="E25" s="65">
        <f t="shared" si="0"/>
        <v>13.844875506791386</v>
      </c>
      <c r="F25" s="59">
        <f t="shared" si="3"/>
        <v>0</v>
      </c>
      <c r="G25" s="65">
        <f t="shared" si="5"/>
        <v>50</v>
      </c>
      <c r="H25" s="65">
        <f t="shared" si="8"/>
        <v>2.3074792511319</v>
      </c>
      <c r="I25" s="60">
        <f>(SUM($F$17:F25)+H24)*(((1+$C$5)^(1/12))-1)</f>
        <v>0.2940912578057857</v>
      </c>
      <c r="J25" s="61">
        <f t="shared" si="1"/>
        <v>0</v>
      </c>
      <c r="K25" s="61">
        <f t="shared" si="4"/>
        <v>5.2053518747207095</v>
      </c>
      <c r="L25" s="61">
        <f t="shared" si="6"/>
        <v>4.613849957524674</v>
      </c>
      <c r="M25" s="61">
        <f t="shared" si="7"/>
        <v>4.025673674546004</v>
      </c>
      <c r="N25" s="61">
        <f t="shared" si="9"/>
        <v>0</v>
      </c>
      <c r="O25" s="61">
        <f t="shared" si="10"/>
        <v>0</v>
      </c>
      <c r="P25" s="61">
        <f t="shared" si="11"/>
        <v>0</v>
      </c>
      <c r="Q25" s="61">
        <f aca="true" t="shared" si="12" ref="Q25:Q40">+IF(ISERROR((POWER(POWER(1+$C$5,1/12),$B25-6)-1)*$C$23),0,((POWER(POWER(1+$C$5,1/12),$B25-6)-1)*$C$23))</f>
        <v>0</v>
      </c>
      <c r="R25" s="61">
        <f>+IF(ISERROR((POWER(POWER(1+$C$5,1/12),$B25-7)-1)*$C$24),0,((POWER(POWER(1+$C$5,1/12),$B25-7)-1)*$C$24))</f>
        <v>0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11"/>
      <c r="AI25" s="55"/>
      <c r="AJ25" s="55"/>
      <c r="AK25" s="55"/>
    </row>
    <row r="26" spans="1:37" ht="13.5">
      <c r="A26" s="11"/>
      <c r="B26" s="63">
        <f t="shared" si="2"/>
        <v>10</v>
      </c>
      <c r="C26" s="64"/>
      <c r="D26" s="65">
        <f>+SUM($C$17:C26)</f>
        <v>300</v>
      </c>
      <c r="E26" s="65">
        <f t="shared" si="0"/>
        <v>15.619400061998912</v>
      </c>
      <c r="F26" s="59">
        <f t="shared" si="3"/>
        <v>0</v>
      </c>
      <c r="G26" s="65">
        <f t="shared" si="5"/>
        <v>50</v>
      </c>
      <c r="H26" s="65">
        <f t="shared" si="8"/>
        <v>2.6032333436664845</v>
      </c>
      <c r="I26" s="60">
        <f>(SUM($F$17:F26)+H25)*(((1+$C$5)^(1/12))-1)</f>
        <v>0.2957540925345845</v>
      </c>
      <c r="J26" s="61">
        <f t="shared" si="1"/>
        <v>0</v>
      </c>
      <c r="K26" s="61">
        <f t="shared" si="4"/>
        <v>5.800198229753528</v>
      </c>
      <c r="L26" s="61">
        <f t="shared" si="6"/>
        <v>5.2053518747207095</v>
      </c>
      <c r="M26" s="61">
        <f t="shared" si="7"/>
        <v>4.613849957524674</v>
      </c>
      <c r="N26" s="61">
        <f t="shared" si="9"/>
        <v>0</v>
      </c>
      <c r="O26" s="61">
        <f t="shared" si="10"/>
        <v>0</v>
      </c>
      <c r="P26" s="61">
        <f t="shared" si="11"/>
        <v>0</v>
      </c>
      <c r="Q26" s="61">
        <f t="shared" si="12"/>
        <v>0</v>
      </c>
      <c r="R26" s="61">
        <f aca="true" t="shared" si="13" ref="R26:R40">+IF(ISERROR((POWER(POWER(1+$C$5,1/12),$B26-7)-1)*$C$24),0,((POWER(POWER(1+$C$5,1/12),$B26-7)-1)*$C$24))</f>
        <v>0</v>
      </c>
      <c r="S26" s="61">
        <f>+IF(ISERROR((POWER(POWER(1+$C$5,1/12),$B26-8)-1)*$C$25),0,((POWER(POWER(1+$C$5,1/12),$B26-8)-1)*$C$25))</f>
        <v>0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11"/>
      <c r="AI26" s="55"/>
      <c r="AJ26" s="55"/>
      <c r="AK26" s="55"/>
    </row>
    <row r="27" spans="1:37" s="72" customFormat="1" ht="13.5">
      <c r="A27" s="66"/>
      <c r="B27" s="67">
        <f t="shared" si="2"/>
        <v>11</v>
      </c>
      <c r="C27" s="64"/>
      <c r="D27" s="68">
        <f>+SUM($C$17:C27)</f>
        <v>300</v>
      </c>
      <c r="E27" s="68">
        <f t="shared" si="0"/>
        <v>17.403958037035075</v>
      </c>
      <c r="F27" s="59">
        <f t="shared" si="3"/>
        <v>0</v>
      </c>
      <c r="G27" s="68">
        <f t="shared" si="5"/>
        <v>50</v>
      </c>
      <c r="H27" s="68">
        <f t="shared" si="8"/>
        <v>2.9006596728391796</v>
      </c>
      <c r="I27" s="69">
        <f>(SUM($F$17:F27)+H26)*(((1+$C$5)^(1/12))-1)</f>
        <v>0.2974263291726951</v>
      </c>
      <c r="J27" s="61">
        <f t="shared" si="1"/>
        <v>0</v>
      </c>
      <c r="K27" s="61">
        <f t="shared" si="4"/>
        <v>6.3984079325608345</v>
      </c>
      <c r="L27" s="61">
        <f t="shared" si="6"/>
        <v>5.800198229753528</v>
      </c>
      <c r="M27" s="61">
        <f t="shared" si="7"/>
        <v>5.2053518747207095</v>
      </c>
      <c r="N27" s="61">
        <f t="shared" si="9"/>
        <v>0</v>
      </c>
      <c r="O27" s="61">
        <f t="shared" si="10"/>
        <v>0</v>
      </c>
      <c r="P27" s="61">
        <f t="shared" si="11"/>
        <v>0</v>
      </c>
      <c r="Q27" s="61">
        <f t="shared" si="12"/>
        <v>0</v>
      </c>
      <c r="R27" s="61">
        <f t="shared" si="13"/>
        <v>0</v>
      </c>
      <c r="S27" s="61">
        <f aca="true" t="shared" si="14" ref="S27:S40">+IF(ISERROR((POWER(POWER(1+$C$5,1/12),$B27-8)-1)*$C$25),0,((POWER(POWER(1+$C$5,1/12),$B27-8)-1)*$C$25))</f>
        <v>0</v>
      </c>
      <c r="T27" s="70">
        <f>+IF(ISERROR((POWER(POWER(1+$C$5,1/12),$B27-9)-1)*$C$26),0,((POWER(POWER(1+$C$5,1/12),$B27-9)-1)*$C$26))</f>
        <v>0</v>
      </c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66"/>
      <c r="AI27" s="55"/>
      <c r="AJ27" s="55"/>
      <c r="AK27" s="55"/>
    </row>
    <row r="28" spans="1:37" ht="13.5">
      <c r="A28" s="11"/>
      <c r="B28" s="63">
        <f t="shared" si="2"/>
        <v>12</v>
      </c>
      <c r="C28" s="64"/>
      <c r="D28" s="65">
        <f>+SUM($C$17:C28)</f>
        <v>300</v>
      </c>
      <c r="E28" s="65">
        <f t="shared" si="0"/>
        <v>19.19860616231437</v>
      </c>
      <c r="F28" s="59">
        <f t="shared" si="3"/>
        <v>0</v>
      </c>
      <c r="G28" s="65">
        <f t="shared" si="5"/>
        <v>50</v>
      </c>
      <c r="H28" s="65">
        <f t="shared" si="8"/>
        <v>3.1997676937190596</v>
      </c>
      <c r="I28" s="60">
        <f>(SUM($F$17:F28)+H27)*(((1+$C$5)^(1/12))-1)</f>
        <v>0.29910802087987987</v>
      </c>
      <c r="J28" s="61">
        <f t="shared" si="1"/>
        <v>0</v>
      </c>
      <c r="K28" s="61">
        <f t="shared" si="4"/>
        <v>7.000000000000006</v>
      </c>
      <c r="L28" s="61">
        <f t="shared" si="6"/>
        <v>6.3984079325608345</v>
      </c>
      <c r="M28" s="61">
        <f t="shared" si="7"/>
        <v>5.800198229753528</v>
      </c>
      <c r="N28" s="61">
        <f t="shared" si="9"/>
        <v>0</v>
      </c>
      <c r="O28" s="61">
        <f t="shared" si="10"/>
        <v>0</v>
      </c>
      <c r="P28" s="61">
        <f t="shared" si="11"/>
        <v>0</v>
      </c>
      <c r="Q28" s="61">
        <f t="shared" si="12"/>
        <v>0</v>
      </c>
      <c r="R28" s="61">
        <f t="shared" si="13"/>
        <v>0</v>
      </c>
      <c r="S28" s="61">
        <f t="shared" si="14"/>
        <v>0</v>
      </c>
      <c r="T28" s="70">
        <f aca="true" t="shared" si="15" ref="T28:T40">+IF(ISERROR((POWER(POWER(1+$C$5,1/12),$B28-9)-1)*$C$26),0,((POWER(POWER(1+$C$5,1/12),$B28-9)-1)*$C$26))</f>
        <v>0</v>
      </c>
      <c r="U28" s="61">
        <f>+IF(ISERROR((POWER(POWER(1+$C$5,1/12),$B28-10)-1)*$C$27),0,((POWER(POWER(1+$C$5,1/12),$B28-10)-1)*$C$27))</f>
        <v>0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11"/>
      <c r="AI28" s="55"/>
      <c r="AJ28" s="55"/>
      <c r="AK28" s="55"/>
    </row>
    <row r="29" spans="1:37" ht="13.5">
      <c r="A29" s="11"/>
      <c r="B29" s="63">
        <f t="shared" si="2"/>
        <v>13</v>
      </c>
      <c r="C29" s="64"/>
      <c r="D29" s="65">
        <f>+SUM($C$17:C29)</f>
        <v>300</v>
      </c>
      <c r="E29" s="65">
        <f t="shared" si="0"/>
        <v>21.003401489013207</v>
      </c>
      <c r="F29" s="59">
        <f t="shared" si="3"/>
        <v>0</v>
      </c>
      <c r="G29" s="65">
        <f t="shared" si="5"/>
        <v>50</v>
      </c>
      <c r="H29" s="65">
        <f t="shared" si="8"/>
        <v>3.500566914835533</v>
      </c>
      <c r="I29" s="60">
        <f>(SUM($F$17:F29)+H28)*(((1+$C$5)^(1/12))-1)</f>
        <v>0.3007992211164737</v>
      </c>
      <c r="J29" s="61">
        <f t="shared" si="1"/>
        <v>0</v>
      </c>
      <c r="K29" s="61">
        <f t="shared" si="4"/>
        <v>7.604993556452366</v>
      </c>
      <c r="L29" s="61">
        <f t="shared" si="6"/>
        <v>7.000000000000006</v>
      </c>
      <c r="M29" s="61">
        <f t="shared" si="7"/>
        <v>6.3984079325608345</v>
      </c>
      <c r="N29" s="61">
        <f t="shared" si="9"/>
        <v>0</v>
      </c>
      <c r="O29" s="61">
        <f t="shared" si="10"/>
        <v>0</v>
      </c>
      <c r="P29" s="61">
        <f t="shared" si="11"/>
        <v>0</v>
      </c>
      <c r="Q29" s="61">
        <f t="shared" si="12"/>
        <v>0</v>
      </c>
      <c r="R29" s="61">
        <f t="shared" si="13"/>
        <v>0</v>
      </c>
      <c r="S29" s="61">
        <f t="shared" si="14"/>
        <v>0</v>
      </c>
      <c r="T29" s="70">
        <f t="shared" si="15"/>
        <v>0</v>
      </c>
      <c r="U29" s="61">
        <f aca="true" t="shared" si="16" ref="U29:U40">+IF(ISERROR((POWER(POWER(1+$C$5,1/12),$B29-10)-1)*$C$27),0,((POWER(POWER(1+$C$5,1/12),$B29-10)-1)*$C$27))</f>
        <v>0</v>
      </c>
      <c r="V29" s="61">
        <f>+IF(ISERROR((POWER(POWER(1+$C$5,1/12),$B29-11)-1)*$C$28),0,((POWER(POWER(1+$C$5,1/12),$B29-11)-1)*$C$28))</f>
        <v>0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11"/>
      <c r="AI29" s="55"/>
      <c r="AJ29" s="55"/>
      <c r="AK29" s="55"/>
    </row>
    <row r="30" spans="1:37" ht="13.5">
      <c r="A30" s="11"/>
      <c r="B30" s="63">
        <f t="shared" si="2"/>
        <v>14</v>
      </c>
      <c r="C30" s="64"/>
      <c r="D30" s="65">
        <f>+SUM($C$17:C30)</f>
        <v>300</v>
      </c>
      <c r="E30" s="65">
        <f t="shared" si="0"/>
        <v>22.818401390883714</v>
      </c>
      <c r="F30" s="59">
        <f t="shared" si="3"/>
        <v>0</v>
      </c>
      <c r="G30" s="65">
        <f t="shared" si="5"/>
        <v>50</v>
      </c>
      <c r="H30" s="65">
        <f t="shared" si="8"/>
        <v>3.8030668984806177</v>
      </c>
      <c r="I30" s="60">
        <f>(SUM($F$17:F30)+H29)*(((1+$C$5)^(1/12))-1)</f>
        <v>0.3024999836450845</v>
      </c>
      <c r="J30" s="61">
        <f t="shared" si="1"/>
        <v>0</v>
      </c>
      <c r="K30" s="61">
        <f t="shared" si="4"/>
        <v>8.21340783443134</v>
      </c>
      <c r="L30" s="61">
        <f t="shared" si="6"/>
        <v>7.604993556452366</v>
      </c>
      <c r="M30" s="61">
        <f t="shared" si="7"/>
        <v>7.000000000000006</v>
      </c>
      <c r="N30" s="61">
        <f t="shared" si="9"/>
        <v>0</v>
      </c>
      <c r="O30" s="61">
        <f t="shared" si="10"/>
        <v>0</v>
      </c>
      <c r="P30" s="61">
        <f t="shared" si="11"/>
        <v>0</v>
      </c>
      <c r="Q30" s="61">
        <f t="shared" si="12"/>
        <v>0</v>
      </c>
      <c r="R30" s="61">
        <f t="shared" si="13"/>
        <v>0</v>
      </c>
      <c r="S30" s="61">
        <f t="shared" si="14"/>
        <v>0</v>
      </c>
      <c r="T30" s="70">
        <f t="shared" si="15"/>
        <v>0</v>
      </c>
      <c r="U30" s="61">
        <f t="shared" si="16"/>
        <v>0</v>
      </c>
      <c r="V30" s="61">
        <f aca="true" t="shared" si="17" ref="V30:V40">+IF(ISERROR((POWER(POWER(1+$C$5,1/12),$B30-11)-1)*$C$28),0,((POWER(POWER(1+$C$5,1/12),$B30-11)-1)*$C$28))</f>
        <v>0</v>
      </c>
      <c r="W30" s="61">
        <f>+IF(ISERROR((POWER(POWER(1+$C$5,1/12),$B30-12)-1)*$C$29),0,((POWER(POWER(1+$C$5,1/12),$B30-12)-1)*$C$29))</f>
        <v>0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11"/>
      <c r="AI30" s="55"/>
      <c r="AJ30" s="55"/>
      <c r="AK30" s="55"/>
    </row>
    <row r="31" spans="1:37" ht="13.5">
      <c r="A31" s="11"/>
      <c r="B31" s="63">
        <f t="shared" si="2"/>
        <v>15</v>
      </c>
      <c r="C31" s="64"/>
      <c r="D31" s="65">
        <f>+SUM($C$17:C31)</f>
        <v>300</v>
      </c>
      <c r="E31" s="65">
        <f t="shared" si="0"/>
        <v>24.64366356607752</v>
      </c>
      <c r="F31" s="59">
        <f t="shared" si="3"/>
        <v>0</v>
      </c>
      <c r="G31" s="65">
        <f t="shared" si="5"/>
        <v>50</v>
      </c>
      <c r="H31" s="65">
        <f t="shared" si="8"/>
        <v>4.10727726101292</v>
      </c>
      <c r="I31" s="60">
        <f>(SUM($F$17:F31)+H30)*(((1+$C$5)^(1/12))-1)</f>
        <v>0.30421036253230155</v>
      </c>
      <c r="J31" s="61">
        <f t="shared" si="1"/>
        <v>0</v>
      </c>
      <c r="K31" s="61">
        <f t="shared" si="4"/>
        <v>8.825262175193815</v>
      </c>
      <c r="L31" s="61">
        <f t="shared" si="6"/>
        <v>8.21340783443134</v>
      </c>
      <c r="M31" s="61">
        <f t="shared" si="7"/>
        <v>7.604993556452366</v>
      </c>
      <c r="N31" s="61">
        <f t="shared" si="9"/>
        <v>0</v>
      </c>
      <c r="O31" s="61">
        <f t="shared" si="10"/>
        <v>0</v>
      </c>
      <c r="P31" s="61">
        <f t="shared" si="11"/>
        <v>0</v>
      </c>
      <c r="Q31" s="61">
        <f t="shared" si="12"/>
        <v>0</v>
      </c>
      <c r="R31" s="61">
        <f t="shared" si="13"/>
        <v>0</v>
      </c>
      <c r="S31" s="61">
        <f t="shared" si="14"/>
        <v>0</v>
      </c>
      <c r="T31" s="70">
        <f t="shared" si="15"/>
        <v>0</v>
      </c>
      <c r="U31" s="61">
        <f t="shared" si="16"/>
        <v>0</v>
      </c>
      <c r="V31" s="61">
        <f t="shared" si="17"/>
        <v>0</v>
      </c>
      <c r="W31" s="61">
        <f aca="true" t="shared" si="18" ref="W31:W40">+IF(ISERROR((POWER(POWER(1+$C$5,1/12),$B31-12)-1)*$C$29),0,((POWER(POWER(1+$C$5,1/12),$B31-12)-1)*$C$29))</f>
        <v>0</v>
      </c>
      <c r="X31" s="61">
        <f>+IF(ISERROR((POWER(POWER(1+$C$5,1/12),$B31-13)-1)*$C$30),0,((POWER(POWER(1+$C$5,1/12),$B31-13)-1)*$C$30))</f>
        <v>0</v>
      </c>
      <c r="Y31" s="62"/>
      <c r="Z31" s="62"/>
      <c r="AA31" s="62"/>
      <c r="AB31" s="62"/>
      <c r="AC31" s="62"/>
      <c r="AD31" s="62"/>
      <c r="AE31" s="62"/>
      <c r="AF31" s="62"/>
      <c r="AG31" s="62"/>
      <c r="AH31" s="11"/>
      <c r="AI31" s="55"/>
      <c r="AJ31" s="55"/>
      <c r="AK31" s="55"/>
    </row>
    <row r="32" spans="1:37" ht="13.5">
      <c r="A32" s="11"/>
      <c r="B32" s="63">
        <f t="shared" si="2"/>
        <v>16</v>
      </c>
      <c r="C32" s="64"/>
      <c r="D32" s="65">
        <f>+SUM($C$17:C32)</f>
        <v>300</v>
      </c>
      <c r="E32" s="65">
        <f t="shared" si="0"/>
        <v>26.479246038979998</v>
      </c>
      <c r="F32" s="59">
        <f t="shared" si="3"/>
        <v>0</v>
      </c>
      <c r="G32" s="65">
        <f t="shared" si="5"/>
        <v>50</v>
      </c>
      <c r="H32" s="65">
        <f t="shared" si="8"/>
        <v>4.413207673163334</v>
      </c>
      <c r="I32" s="60">
        <f>(SUM($F$17:F32)+H31)*(((1+$C$5)^(1/12))-1)</f>
        <v>0.30593041215041444</v>
      </c>
      <c r="J32" s="61">
        <f t="shared" si="1"/>
        <v>0</v>
      </c>
      <c r="K32" s="61">
        <f t="shared" si="4"/>
        <v>9.44057602935484</v>
      </c>
      <c r="L32" s="61">
        <f t="shared" si="6"/>
        <v>8.825262175193815</v>
      </c>
      <c r="M32" s="61">
        <f t="shared" si="7"/>
        <v>8.21340783443134</v>
      </c>
      <c r="N32" s="61">
        <f t="shared" si="9"/>
        <v>0</v>
      </c>
      <c r="O32" s="61">
        <f t="shared" si="10"/>
        <v>0</v>
      </c>
      <c r="P32" s="61">
        <f t="shared" si="11"/>
        <v>0</v>
      </c>
      <c r="Q32" s="61">
        <f t="shared" si="12"/>
        <v>0</v>
      </c>
      <c r="R32" s="61">
        <f t="shared" si="13"/>
        <v>0</v>
      </c>
      <c r="S32" s="61">
        <f t="shared" si="14"/>
        <v>0</v>
      </c>
      <c r="T32" s="70">
        <f t="shared" si="15"/>
        <v>0</v>
      </c>
      <c r="U32" s="61">
        <f t="shared" si="16"/>
        <v>0</v>
      </c>
      <c r="V32" s="61">
        <f t="shared" si="17"/>
        <v>0</v>
      </c>
      <c r="W32" s="61">
        <f t="shared" si="18"/>
        <v>0</v>
      </c>
      <c r="X32" s="61">
        <f aca="true" t="shared" si="19" ref="X32:X40">+IF(ISERROR((POWER(POWER(1+$C$5,1/12),$B32-13)-1)*$C$30),0,((POWER(POWER(1+$C$5,1/12),$B32-13)-1)*$C$30))</f>
        <v>0</v>
      </c>
      <c r="Y32" s="61">
        <f>+IF(ISERROR((POWER(POWER(1+$C$5,1/12),$B32-14)-1)*$C$31),0,((POWER(POWER(1+$C$5,1/12),$B32-14)-1)*$C$31))</f>
        <v>0</v>
      </c>
      <c r="Z32" s="62"/>
      <c r="AA32" s="62"/>
      <c r="AB32" s="62"/>
      <c r="AC32" s="62"/>
      <c r="AD32" s="62"/>
      <c r="AE32" s="62"/>
      <c r="AF32" s="62"/>
      <c r="AG32" s="62"/>
      <c r="AH32" s="11"/>
      <c r="AI32" s="11"/>
      <c r="AJ32" s="11"/>
      <c r="AK32" s="11"/>
    </row>
    <row r="33" spans="1:37" ht="13.5">
      <c r="A33" s="11"/>
      <c r="B33" s="63">
        <f t="shared" si="2"/>
        <v>17</v>
      </c>
      <c r="C33" s="64"/>
      <c r="D33" s="65">
        <f>+SUM($C$17:C33)</f>
        <v>300</v>
      </c>
      <c r="E33" s="65">
        <f t="shared" si="0"/>
        <v>28.325207162054866</v>
      </c>
      <c r="F33" s="59">
        <f t="shared" si="3"/>
        <v>0</v>
      </c>
      <c r="G33" s="65">
        <f t="shared" si="5"/>
        <v>50</v>
      </c>
      <c r="H33" s="65">
        <f t="shared" si="8"/>
        <v>4.720867860342476</v>
      </c>
      <c r="I33" s="60">
        <f>(SUM($F$17:F33)+H32)*(((1+$C$5)^(1/12))-1)</f>
        <v>0.30766018717914173</v>
      </c>
      <c r="J33" s="61">
        <f t="shared" si="1"/>
        <v>0</v>
      </c>
      <c r="K33" s="61">
        <f t="shared" si="4"/>
        <v>10.059368957506209</v>
      </c>
      <c r="L33" s="61">
        <f t="shared" si="6"/>
        <v>9.44057602935484</v>
      </c>
      <c r="M33" s="61">
        <f t="shared" si="7"/>
        <v>8.825262175193815</v>
      </c>
      <c r="N33" s="61">
        <f t="shared" si="9"/>
        <v>0</v>
      </c>
      <c r="O33" s="61">
        <f t="shared" si="10"/>
        <v>0</v>
      </c>
      <c r="P33" s="61">
        <f t="shared" si="11"/>
        <v>0</v>
      </c>
      <c r="Q33" s="61">
        <f t="shared" si="12"/>
        <v>0</v>
      </c>
      <c r="R33" s="61">
        <f t="shared" si="13"/>
        <v>0</v>
      </c>
      <c r="S33" s="61">
        <f t="shared" si="14"/>
        <v>0</v>
      </c>
      <c r="T33" s="70">
        <f t="shared" si="15"/>
        <v>0</v>
      </c>
      <c r="U33" s="61">
        <f t="shared" si="16"/>
        <v>0</v>
      </c>
      <c r="V33" s="61">
        <f t="shared" si="17"/>
        <v>0</v>
      </c>
      <c r="W33" s="61">
        <f t="shared" si="18"/>
        <v>0</v>
      </c>
      <c r="X33" s="61">
        <f t="shared" si="19"/>
        <v>0</v>
      </c>
      <c r="Y33" s="61">
        <f aca="true" t="shared" si="20" ref="Y33:Y40">+IF(ISERROR((POWER(POWER(1+$C$5,1/12),$B33-14)-1)*$C$31),0,((POWER(POWER(1+$C$5,1/12),$B33-14)-1)*$C$31))</f>
        <v>0</v>
      </c>
      <c r="Z33" s="61">
        <f>+IF(ISERROR((POWER(POWER(1+$C$5,1/12),$B33-15)-1)*$C$32),0,((POWER(POWER(1+$C$5,1/12),$B33-15)-1)*$C$32))</f>
        <v>0</v>
      </c>
      <c r="AA33" s="62"/>
      <c r="AB33" s="62"/>
      <c r="AC33" s="62"/>
      <c r="AD33" s="62"/>
      <c r="AE33" s="62"/>
      <c r="AF33" s="62"/>
      <c r="AG33" s="62"/>
      <c r="AH33" s="11"/>
      <c r="AI33" s="11"/>
      <c r="AJ33" s="11"/>
      <c r="AK33" s="11"/>
    </row>
    <row r="34" spans="1:37" ht="13.5">
      <c r="A34" s="11"/>
      <c r="B34" s="63">
        <f t="shared" si="2"/>
        <v>18</v>
      </c>
      <c r="C34" s="64"/>
      <c r="D34" s="65">
        <f>+SUM($C$17:C34)</f>
        <v>300</v>
      </c>
      <c r="E34" s="65">
        <f t="shared" si="0"/>
        <v>30.18160561769907</v>
      </c>
      <c r="F34" s="59">
        <f t="shared" si="3"/>
        <v>0</v>
      </c>
      <c r="G34" s="65">
        <f t="shared" si="5"/>
        <v>50</v>
      </c>
      <c r="H34" s="65">
        <f t="shared" si="8"/>
        <v>5.030267602949845</v>
      </c>
      <c r="I34" s="60">
        <f>(SUM($F$17:F34)+H33)*(((1+$C$5)^(1/12))-1)</f>
        <v>0.3093997426073689</v>
      </c>
      <c r="J34" s="61">
        <f t="shared" si="1"/>
        <v>0</v>
      </c>
      <c r="K34" s="61">
        <f t="shared" si="4"/>
        <v>10.681660630838019</v>
      </c>
      <c r="L34" s="61">
        <f t="shared" si="6"/>
        <v>10.059368957506209</v>
      </c>
      <c r="M34" s="61">
        <f t="shared" si="7"/>
        <v>9.44057602935484</v>
      </c>
      <c r="N34" s="61">
        <f t="shared" si="9"/>
        <v>0</v>
      </c>
      <c r="O34" s="61">
        <f t="shared" si="10"/>
        <v>0</v>
      </c>
      <c r="P34" s="61">
        <f t="shared" si="11"/>
        <v>0</v>
      </c>
      <c r="Q34" s="61">
        <f t="shared" si="12"/>
        <v>0</v>
      </c>
      <c r="R34" s="61">
        <f t="shared" si="13"/>
        <v>0</v>
      </c>
      <c r="S34" s="61">
        <f t="shared" si="14"/>
        <v>0</v>
      </c>
      <c r="T34" s="70">
        <f t="shared" si="15"/>
        <v>0</v>
      </c>
      <c r="U34" s="61">
        <f t="shared" si="16"/>
        <v>0</v>
      </c>
      <c r="V34" s="61">
        <f t="shared" si="17"/>
        <v>0</v>
      </c>
      <c r="W34" s="61">
        <f t="shared" si="18"/>
        <v>0</v>
      </c>
      <c r="X34" s="61">
        <f t="shared" si="19"/>
        <v>0</v>
      </c>
      <c r="Y34" s="61">
        <f t="shared" si="20"/>
        <v>0</v>
      </c>
      <c r="Z34" s="61">
        <f aca="true" t="shared" si="21" ref="Z34:Z40">+IF(ISERROR((POWER(POWER(1+$C$5,1/12),$B34-15)-1)*$C$32),0,((POWER(POWER(1+$C$5,1/12),$B34-15)-1)*$C$32))</f>
        <v>0</v>
      </c>
      <c r="AA34" s="61">
        <f>+IF(ISERROR((POWER(POWER(1+$C$5,1/12),$B34-16)-1)*$C$33),0,((POWER(POWER(1+$C$5,1/12),$B34-16)-1)*$C$33))</f>
        <v>0</v>
      </c>
      <c r="AB34" s="62"/>
      <c r="AC34" s="62"/>
      <c r="AD34" s="62"/>
      <c r="AE34" s="62"/>
      <c r="AF34" s="62"/>
      <c r="AG34" s="62"/>
      <c r="AH34" s="11"/>
      <c r="AI34" s="11"/>
      <c r="AJ34" s="11"/>
      <c r="AK34" s="11"/>
    </row>
    <row r="35" spans="1:37" ht="13.5">
      <c r="A35" s="11"/>
      <c r="B35" s="63">
        <f t="shared" si="2"/>
        <v>19</v>
      </c>
      <c r="C35" s="64"/>
      <c r="D35" s="65">
        <f>+SUM($C$17:C35)</f>
        <v>300</v>
      </c>
      <c r="E35" s="65">
        <f t="shared" si="0"/>
        <v>32.04850042010845</v>
      </c>
      <c r="F35" s="59">
        <f t="shared" si="3"/>
        <v>0</v>
      </c>
      <c r="G35" s="65">
        <f t="shared" si="5"/>
        <v>50</v>
      </c>
      <c r="H35" s="65">
        <f t="shared" si="8"/>
        <v>5.341416736684741</v>
      </c>
      <c r="I35" s="60">
        <f>(SUM($F$17:F35)+H34)*(((1+$C$5)^(1/12))-1)</f>
        <v>0.3111491337348968</v>
      </c>
      <c r="J35" s="61">
        <f t="shared" si="1"/>
        <v>0</v>
      </c>
      <c r="K35" s="61">
        <f t="shared" si="4"/>
        <v>11.30747083176422</v>
      </c>
      <c r="L35" s="61">
        <f t="shared" si="6"/>
        <v>10.681660630838019</v>
      </c>
      <c r="M35" s="61">
        <f t="shared" si="7"/>
        <v>10.059368957506209</v>
      </c>
      <c r="N35" s="61">
        <f t="shared" si="9"/>
        <v>0</v>
      </c>
      <c r="O35" s="61">
        <f t="shared" si="10"/>
        <v>0</v>
      </c>
      <c r="P35" s="61">
        <f t="shared" si="11"/>
        <v>0</v>
      </c>
      <c r="Q35" s="61">
        <f t="shared" si="12"/>
        <v>0</v>
      </c>
      <c r="R35" s="61">
        <f t="shared" si="13"/>
        <v>0</v>
      </c>
      <c r="S35" s="61">
        <f t="shared" si="14"/>
        <v>0</v>
      </c>
      <c r="T35" s="70">
        <f t="shared" si="15"/>
        <v>0</v>
      </c>
      <c r="U35" s="61">
        <f t="shared" si="16"/>
        <v>0</v>
      </c>
      <c r="V35" s="61">
        <f t="shared" si="17"/>
        <v>0</v>
      </c>
      <c r="W35" s="61">
        <f t="shared" si="18"/>
        <v>0</v>
      </c>
      <c r="X35" s="61">
        <f t="shared" si="19"/>
        <v>0</v>
      </c>
      <c r="Y35" s="61">
        <f t="shared" si="20"/>
        <v>0</v>
      </c>
      <c r="Z35" s="61">
        <f t="shared" si="21"/>
        <v>0</v>
      </c>
      <c r="AA35" s="61">
        <f aca="true" t="shared" si="22" ref="AA35:AA40">+IF(ISERROR((POWER(POWER(1+$C$5,1/12),$B35-16)-1)*$C$33),0,((POWER(POWER(1+$C$5,1/12),$B35-16)-1)*$C$33))</f>
        <v>0</v>
      </c>
      <c r="AB35" s="61">
        <f aca="true" t="shared" si="23" ref="AB35:AB40">+IF(ISERROR((POWER(POWER(1+$C$5,1/12),$B35-17)-1)*$C$34),0,((POWER(POWER(1+$C$5,1/12),$B35-17)-1)*$C$34))</f>
        <v>0</v>
      </c>
      <c r="AC35" s="62"/>
      <c r="AD35" s="62"/>
      <c r="AE35" s="62"/>
      <c r="AF35" s="62"/>
      <c r="AG35" s="62"/>
      <c r="AH35" s="11"/>
      <c r="AI35" s="11"/>
      <c r="AJ35" s="11"/>
      <c r="AK35" s="11"/>
    </row>
    <row r="36" spans="1:37" ht="13.5">
      <c r="A36" s="11"/>
      <c r="B36" s="63">
        <f>+B35+1</f>
        <v>20</v>
      </c>
      <c r="C36" s="64"/>
      <c r="D36" s="65">
        <f>+SUM($C$17:C36)</f>
        <v>300</v>
      </c>
      <c r="E36" s="65">
        <f t="shared" si="0"/>
        <v>33.92595091715362</v>
      </c>
      <c r="F36" s="59">
        <f t="shared" si="3"/>
        <v>0</v>
      </c>
      <c r="G36" s="65">
        <f t="shared" si="5"/>
        <v>50</v>
      </c>
      <c r="H36" s="65">
        <f t="shared" si="8"/>
        <v>5.654325152858941</v>
      </c>
      <c r="I36" s="60">
        <f>(SUM($F$17:F36)+H35)*(((1+$C$5)^(1/12))-1)</f>
        <v>0.31290841617419907</v>
      </c>
      <c r="J36" s="61">
        <f t="shared" si="1"/>
        <v>0</v>
      </c>
      <c r="K36" s="61">
        <f t="shared" si="4"/>
        <v>11.936819454551383</v>
      </c>
      <c r="L36" s="61">
        <f t="shared" si="6"/>
        <v>11.30747083176422</v>
      </c>
      <c r="M36" s="61">
        <f t="shared" si="7"/>
        <v>10.681660630838019</v>
      </c>
      <c r="N36" s="61">
        <f t="shared" si="9"/>
        <v>0</v>
      </c>
      <c r="O36" s="61">
        <f t="shared" si="10"/>
        <v>0</v>
      </c>
      <c r="P36" s="61">
        <f t="shared" si="11"/>
        <v>0</v>
      </c>
      <c r="Q36" s="61">
        <f t="shared" si="12"/>
        <v>0</v>
      </c>
      <c r="R36" s="61">
        <f t="shared" si="13"/>
        <v>0</v>
      </c>
      <c r="S36" s="61">
        <f t="shared" si="14"/>
        <v>0</v>
      </c>
      <c r="T36" s="70">
        <f t="shared" si="15"/>
        <v>0</v>
      </c>
      <c r="U36" s="61">
        <f t="shared" si="16"/>
        <v>0</v>
      </c>
      <c r="V36" s="61">
        <f t="shared" si="17"/>
        <v>0</v>
      </c>
      <c r="W36" s="61">
        <f t="shared" si="18"/>
        <v>0</v>
      </c>
      <c r="X36" s="61">
        <f t="shared" si="19"/>
        <v>0</v>
      </c>
      <c r="Y36" s="61">
        <f t="shared" si="20"/>
        <v>0</v>
      </c>
      <c r="Z36" s="61">
        <f t="shared" si="21"/>
        <v>0</v>
      </c>
      <c r="AA36" s="61">
        <f t="shared" si="22"/>
        <v>0</v>
      </c>
      <c r="AB36" s="61">
        <f t="shared" si="23"/>
        <v>0</v>
      </c>
      <c r="AC36" s="61">
        <f>+IF(ISERROR((POWER(POWER(1+$C$5,1/12),$B36-18)-1)*$C$35),0,((POWER(POWER(1+$C$5,1/12),$B36-18)-1)*$C$35))</f>
        <v>0</v>
      </c>
      <c r="AD36" s="62"/>
      <c r="AE36" s="62"/>
      <c r="AF36" s="62"/>
      <c r="AG36" s="62"/>
      <c r="AH36" s="11"/>
      <c r="AI36" s="11"/>
      <c r="AJ36" s="11"/>
      <c r="AK36" s="11"/>
    </row>
    <row r="37" spans="1:37" ht="13.5">
      <c r="A37" s="11"/>
      <c r="B37" s="63">
        <f t="shared" si="2"/>
        <v>21</v>
      </c>
      <c r="C37" s="64"/>
      <c r="D37" s="65">
        <f>+SUM($C$17:C37)</f>
        <v>300</v>
      </c>
      <c r="E37" s="65">
        <f t="shared" si="0"/>
        <v>35.81401679226677</v>
      </c>
      <c r="F37" s="59">
        <f t="shared" si="3"/>
        <v>0</v>
      </c>
      <c r="G37" s="65">
        <f t="shared" si="5"/>
        <v>50</v>
      </c>
      <c r="H37" s="65">
        <f t="shared" si="8"/>
        <v>5.969002798711132</v>
      </c>
      <c r="I37" s="60">
        <f>(SUM($F$17:F37)+H36)*(((1+$C$5)^(1/12))-1)</f>
        <v>0.31467764585219066</v>
      </c>
      <c r="J37" s="61">
        <f t="shared" si="1"/>
        <v>0</v>
      </c>
      <c r="K37" s="61">
        <f t="shared" si="4"/>
        <v>12.569726505951163</v>
      </c>
      <c r="L37" s="61">
        <f t="shared" si="6"/>
        <v>11.936819454551383</v>
      </c>
      <c r="M37" s="61">
        <f t="shared" si="7"/>
        <v>11.30747083176422</v>
      </c>
      <c r="N37" s="61">
        <f t="shared" si="9"/>
        <v>0</v>
      </c>
      <c r="O37" s="61">
        <f t="shared" si="10"/>
        <v>0</v>
      </c>
      <c r="P37" s="61">
        <f t="shared" si="11"/>
        <v>0</v>
      </c>
      <c r="Q37" s="61">
        <f t="shared" si="12"/>
        <v>0</v>
      </c>
      <c r="R37" s="61">
        <f t="shared" si="13"/>
        <v>0</v>
      </c>
      <c r="S37" s="61">
        <f t="shared" si="14"/>
        <v>0</v>
      </c>
      <c r="T37" s="70">
        <f t="shared" si="15"/>
        <v>0</v>
      </c>
      <c r="U37" s="61">
        <f t="shared" si="16"/>
        <v>0</v>
      </c>
      <c r="V37" s="61">
        <f t="shared" si="17"/>
        <v>0</v>
      </c>
      <c r="W37" s="61">
        <f t="shared" si="18"/>
        <v>0</v>
      </c>
      <c r="X37" s="61">
        <f t="shared" si="19"/>
        <v>0</v>
      </c>
      <c r="Y37" s="61">
        <f t="shared" si="20"/>
        <v>0</v>
      </c>
      <c r="Z37" s="61">
        <f t="shared" si="21"/>
        <v>0</v>
      </c>
      <c r="AA37" s="61">
        <f t="shared" si="22"/>
        <v>0</v>
      </c>
      <c r="AB37" s="61">
        <f t="shared" si="23"/>
        <v>0</v>
      </c>
      <c r="AC37" s="61">
        <f>+IF(ISERROR((POWER(POWER(1+$C$5,1/12),$B37-18)-1)*$C$35),0,((POWER(POWER(1+$C$5,1/12),$B37-18)-1)*$C$35))</f>
        <v>0</v>
      </c>
      <c r="AD37" s="61">
        <f>+IF(ISERROR((POWER(POWER(1+$C$5,1/12),$B37-19)-1)*$C$36),0,((POWER(POWER(1+$C$5,1/12),$B37-19)-1)*$C$36))</f>
        <v>0</v>
      </c>
      <c r="AE37" s="62"/>
      <c r="AF37" s="62"/>
      <c r="AG37" s="62"/>
      <c r="AH37" s="11"/>
      <c r="AI37" s="11"/>
      <c r="AJ37" s="11"/>
      <c r="AK37" s="11"/>
    </row>
    <row r="38" spans="1:37" ht="13.5">
      <c r="A38" s="11"/>
      <c r="B38" s="63">
        <f t="shared" si="2"/>
        <v>22</v>
      </c>
      <c r="C38" s="64"/>
      <c r="D38" s="65">
        <f>+SUM($C$17:C38)</f>
        <v>300</v>
      </c>
      <c r="E38" s="65">
        <f t="shared" si="0"/>
        <v>37.71275806633881</v>
      </c>
      <c r="F38" s="59">
        <f t="shared" si="3"/>
        <v>0</v>
      </c>
      <c r="G38" s="65">
        <f t="shared" si="5"/>
        <v>50</v>
      </c>
      <c r="H38" s="65">
        <f t="shared" si="8"/>
        <v>6.285459677723137</v>
      </c>
      <c r="I38" s="60">
        <f>(SUM($F$17:F38)+H37)*(((1+$C$5)^(1/12))-1)</f>
        <v>0.3164568790120054</v>
      </c>
      <c r="J38" s="61">
        <f t="shared" si="1"/>
        <v>0</v>
      </c>
      <c r="K38" s="61">
        <f t="shared" si="4"/>
        <v>13.206212105836258</v>
      </c>
      <c r="L38" s="61">
        <f t="shared" si="6"/>
        <v>12.569726505951163</v>
      </c>
      <c r="M38" s="61">
        <f t="shared" si="7"/>
        <v>11.936819454551383</v>
      </c>
      <c r="N38" s="61">
        <f t="shared" si="9"/>
        <v>0</v>
      </c>
      <c r="O38" s="61">
        <f t="shared" si="10"/>
        <v>0</v>
      </c>
      <c r="P38" s="61">
        <f t="shared" si="11"/>
        <v>0</v>
      </c>
      <c r="Q38" s="61">
        <f t="shared" si="12"/>
        <v>0</v>
      </c>
      <c r="R38" s="61">
        <f t="shared" si="13"/>
        <v>0</v>
      </c>
      <c r="S38" s="61">
        <f t="shared" si="14"/>
        <v>0</v>
      </c>
      <c r="T38" s="70">
        <f t="shared" si="15"/>
        <v>0</v>
      </c>
      <c r="U38" s="61">
        <f t="shared" si="16"/>
        <v>0</v>
      </c>
      <c r="V38" s="61">
        <f t="shared" si="17"/>
        <v>0</v>
      </c>
      <c r="W38" s="61">
        <f t="shared" si="18"/>
        <v>0</v>
      </c>
      <c r="X38" s="61">
        <f t="shared" si="19"/>
        <v>0</v>
      </c>
      <c r="Y38" s="61">
        <f t="shared" si="20"/>
        <v>0</v>
      </c>
      <c r="Z38" s="61">
        <f t="shared" si="21"/>
        <v>0</v>
      </c>
      <c r="AA38" s="61">
        <f t="shared" si="22"/>
        <v>0</v>
      </c>
      <c r="AB38" s="61">
        <f t="shared" si="23"/>
        <v>0</v>
      </c>
      <c r="AC38" s="61">
        <f>+IF(ISERROR((POWER(POWER(1+$C$5,1/12),$B38-18)-1)*$C$35),0,((POWER(POWER(1+$C$5,1/12),$B38-18)-1)*$C$35))</f>
        <v>0</v>
      </c>
      <c r="AD38" s="61">
        <f>+IF(ISERROR((POWER(POWER(1+$C$5,1/12),$B38-19)-1)*$C$36),0,((POWER(POWER(1+$C$5,1/12),$B38-19)-1)*$C$36))</f>
        <v>0</v>
      </c>
      <c r="AE38" s="61">
        <f>+IF(ISERROR((POWER(POWER(1+$C$5,1/12),$B38-20)-1)*$C$37),0,((POWER(POWER(1+$C$5,1/12),$B38-20)-1)*$C$37))</f>
        <v>0</v>
      </c>
      <c r="AF38" s="62"/>
      <c r="AG38" s="62"/>
      <c r="AH38" s="11"/>
      <c r="AI38" s="11"/>
      <c r="AJ38" s="11"/>
      <c r="AK38" s="11"/>
    </row>
    <row r="39" spans="1:37" ht="13.5">
      <c r="A39" s="11"/>
      <c r="B39" s="63">
        <f t="shared" si="2"/>
        <v>23</v>
      </c>
      <c r="C39" s="64"/>
      <c r="D39" s="65">
        <f>+SUM($C$17:C39)</f>
        <v>300</v>
      </c>
      <c r="E39" s="65">
        <f t="shared" si="0"/>
        <v>39.622235099627524</v>
      </c>
      <c r="F39" s="59">
        <f t="shared" si="3"/>
        <v>0</v>
      </c>
      <c r="G39" s="65">
        <f t="shared" si="5"/>
        <v>50</v>
      </c>
      <c r="H39" s="65">
        <f t="shared" si="8"/>
        <v>6.603705849937921</v>
      </c>
      <c r="I39" s="60">
        <f>(SUM($F$17:F39)+H38)*(((1+$C$5)^(1/12))-1)</f>
        <v>0.3182461722147838</v>
      </c>
      <c r="J39" s="61">
        <f t="shared" si="1"/>
        <v>0</v>
      </c>
      <c r="K39" s="61">
        <f t="shared" si="4"/>
        <v>13.846296487840103</v>
      </c>
      <c r="L39" s="61">
        <f t="shared" si="6"/>
        <v>13.206212105836258</v>
      </c>
      <c r="M39" s="61">
        <f t="shared" si="7"/>
        <v>12.569726505951163</v>
      </c>
      <c r="N39" s="61">
        <f t="shared" si="9"/>
        <v>0</v>
      </c>
      <c r="O39" s="61">
        <f t="shared" si="10"/>
        <v>0</v>
      </c>
      <c r="P39" s="61">
        <f t="shared" si="11"/>
        <v>0</v>
      </c>
      <c r="Q39" s="61">
        <f t="shared" si="12"/>
        <v>0</v>
      </c>
      <c r="R39" s="61">
        <f t="shared" si="13"/>
        <v>0</v>
      </c>
      <c r="S39" s="61">
        <f t="shared" si="14"/>
        <v>0</v>
      </c>
      <c r="T39" s="70">
        <f t="shared" si="15"/>
        <v>0</v>
      </c>
      <c r="U39" s="61">
        <f t="shared" si="16"/>
        <v>0</v>
      </c>
      <c r="V39" s="61">
        <f t="shared" si="17"/>
        <v>0</v>
      </c>
      <c r="W39" s="61">
        <f t="shared" si="18"/>
        <v>0</v>
      </c>
      <c r="X39" s="61">
        <f t="shared" si="19"/>
        <v>0</v>
      </c>
      <c r="Y39" s="61">
        <f t="shared" si="20"/>
        <v>0</v>
      </c>
      <c r="Z39" s="61">
        <f t="shared" si="21"/>
        <v>0</v>
      </c>
      <c r="AA39" s="61">
        <f t="shared" si="22"/>
        <v>0</v>
      </c>
      <c r="AB39" s="61">
        <f t="shared" si="23"/>
        <v>0</v>
      </c>
      <c r="AC39" s="61">
        <f>+IF(ISERROR((POWER(POWER(1+$C$5,1/12),$B39-18)-1)*$C$35),0,((POWER(POWER(1+$C$5,1/12),$B39-18)-1)*$C$35))</f>
        <v>0</v>
      </c>
      <c r="AD39" s="61">
        <f>+IF(ISERROR((POWER(POWER(1+$C$5,1/12),$B39-19)-1)*$C$36),0,((POWER(POWER(1+$C$5,1/12),$B39-19)-1)*$C$36))</f>
        <v>0</v>
      </c>
      <c r="AE39" s="61">
        <f>+IF(ISERROR((POWER(POWER(1+$C$5,1/12),$B39-20)-1)*$C$37),0,((POWER(POWER(1+$C$5,1/12),$B39-20)-1)*$C$37))</f>
        <v>0</v>
      </c>
      <c r="AF39" s="61">
        <f>+IF(ISERROR((POWER(POWER(1+$C$5,1/12),$B39-21)-1)*$C$38),0,((POWER(POWER(1+$C$5,1/12),$B39-21)-1)*$C$38))</f>
        <v>0</v>
      </c>
      <c r="AG39" s="62"/>
      <c r="AH39" s="11"/>
      <c r="AI39" s="11"/>
      <c r="AJ39" s="11"/>
      <c r="AK39" s="11"/>
    </row>
    <row r="40" spans="1:37" ht="13.5">
      <c r="A40" s="11"/>
      <c r="B40" s="63">
        <f>+B39+1</f>
        <v>24</v>
      </c>
      <c r="C40" s="64"/>
      <c r="D40" s="73">
        <f>+SUM($C$17:C40)</f>
        <v>300</v>
      </c>
      <c r="E40" s="73">
        <f t="shared" si="0"/>
        <v>41.542508593676345</v>
      </c>
      <c r="F40" s="59">
        <f t="shared" si="3"/>
        <v>0</v>
      </c>
      <c r="G40" s="73">
        <f t="shared" si="5"/>
        <v>50</v>
      </c>
      <c r="H40" s="73">
        <f aca="true" t="shared" si="24" ref="H40:H46">I40+H39</f>
        <v>6.923751432279392</v>
      </c>
      <c r="I40" s="60">
        <f>(SUM($F$17:F40)+H39)*(((1+$C$5)^(1/12))-1)</f>
        <v>0.3200455823414714</v>
      </c>
      <c r="J40" s="61">
        <f t="shared" si="1"/>
        <v>0</v>
      </c>
      <c r="K40" s="61">
        <f t="shared" si="4"/>
        <v>14.48999999999998</v>
      </c>
      <c r="L40" s="61">
        <f t="shared" si="6"/>
        <v>13.846296487840103</v>
      </c>
      <c r="M40" s="61">
        <f t="shared" si="7"/>
        <v>13.206212105836258</v>
      </c>
      <c r="N40" s="61">
        <f t="shared" si="9"/>
        <v>0</v>
      </c>
      <c r="O40" s="61">
        <f t="shared" si="10"/>
        <v>0</v>
      </c>
      <c r="P40" s="61">
        <f t="shared" si="11"/>
        <v>0</v>
      </c>
      <c r="Q40" s="61">
        <f t="shared" si="12"/>
        <v>0</v>
      </c>
      <c r="R40" s="61">
        <f t="shared" si="13"/>
        <v>0</v>
      </c>
      <c r="S40" s="61">
        <f t="shared" si="14"/>
        <v>0</v>
      </c>
      <c r="T40" s="70">
        <f t="shared" si="15"/>
        <v>0</v>
      </c>
      <c r="U40" s="61">
        <f t="shared" si="16"/>
        <v>0</v>
      </c>
      <c r="V40" s="61">
        <f t="shared" si="17"/>
        <v>0</v>
      </c>
      <c r="W40" s="61">
        <f t="shared" si="18"/>
        <v>0</v>
      </c>
      <c r="X40" s="61">
        <f t="shared" si="19"/>
        <v>0</v>
      </c>
      <c r="Y40" s="61">
        <f t="shared" si="20"/>
        <v>0</v>
      </c>
      <c r="Z40" s="61">
        <f t="shared" si="21"/>
        <v>0</v>
      </c>
      <c r="AA40" s="61">
        <f t="shared" si="22"/>
        <v>0</v>
      </c>
      <c r="AB40" s="61">
        <f t="shared" si="23"/>
        <v>0</v>
      </c>
      <c r="AC40" s="61">
        <f>+IF(ISERROR((POWER(POWER(1+$C$5,1/12),$B40-18)-1)*$C$35),0,((POWER(POWER(1+$C$5,1/12),$B40-18)-1)*$C$35))</f>
        <v>0</v>
      </c>
      <c r="AD40" s="61">
        <f>+IF(ISERROR((POWER(POWER(1+$C$5,1/12),$B40-19)-1)*$C$36),0,((POWER(POWER(1+$C$5,1/12),$B40-19)-1)*$C$36))</f>
        <v>0</v>
      </c>
      <c r="AE40" s="61">
        <f>+IF(ISERROR((POWER(POWER(1+$C$5,1/12),$B40-20)-1)*$C$37),0,((POWER(POWER(1+$C$5,1/12),$B40-20)-1)*$C$37))</f>
        <v>0</v>
      </c>
      <c r="AF40" s="61">
        <f>+IF(ISERROR((POWER(POWER(1+$C$5,1/12),$B40-21)-1)*$C$38),0,((POWER(POWER(1+$C$5,1/12),$B40-21)-1)*$C$38))</f>
        <v>0</v>
      </c>
      <c r="AG40" s="61">
        <f>+IF(ISERROR((POWER(POWER(1+$C$5,1/12),$B40-22)-1)*$C$39),0,((POWER(POWER(1+$C$5,1/12),$B40-22)-1)*$C$39))</f>
        <v>0</v>
      </c>
      <c r="AH40" s="11"/>
      <c r="AI40" s="11"/>
      <c r="AJ40" s="11"/>
      <c r="AK40" s="11"/>
    </row>
    <row r="41" spans="1:37" ht="13.5" customHeight="1">
      <c r="A41" s="11"/>
      <c r="B41" s="63">
        <v>1</v>
      </c>
      <c r="C41" s="74" t="s">
        <v>75</v>
      </c>
      <c r="D41" s="65">
        <f>MAX(D17:D40)</f>
        <v>300</v>
      </c>
      <c r="E41" s="65">
        <f aca="true" t="shared" si="25" ref="E41:E46">+IF(ISERROR((POWER(POWER(1+$C$5,1/12),B41)-1)*($D$41+MAX($E$17:$E$40))+MAX($E$17:$E$40)),0,(POWER(POWER(1+$C$5,1/12),B41)-1)*($D$41+MAX($E$17:$E$40))+MAX($E$17:$E$40))</f>
        <v>43.47363959324411</v>
      </c>
      <c r="F41" s="74" t="s">
        <v>75</v>
      </c>
      <c r="G41" s="65">
        <f>MAX(G17:G40)</f>
        <v>50</v>
      </c>
      <c r="H41" s="58">
        <f t="shared" si="24"/>
        <v>7.245606598874019</v>
      </c>
      <c r="I41" s="60">
        <f aca="true" t="shared" si="26" ref="I41:I46">(SUM($G$41)+H40)*(((1+$C$5)^(1/12))-1)</f>
        <v>0.3218551665946269</v>
      </c>
      <c r="J41" s="75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11"/>
      <c r="AI41" s="11"/>
      <c r="AJ41" s="11"/>
      <c r="AK41" s="11"/>
    </row>
    <row r="42" spans="1:37" ht="13.5">
      <c r="A42" s="11"/>
      <c r="B42" s="63">
        <f>+B41+1</f>
        <v>2</v>
      </c>
      <c r="C42" s="74"/>
      <c r="D42" s="65"/>
      <c r="E42" s="65">
        <f t="shared" si="25"/>
        <v>45.41568948824554</v>
      </c>
      <c r="F42" s="74"/>
      <c r="G42" s="65"/>
      <c r="H42" s="65">
        <f t="shared" si="24"/>
        <v>7.56928158137426</v>
      </c>
      <c r="I42" s="60">
        <f t="shared" si="26"/>
        <v>0.32367498250024046</v>
      </c>
      <c r="J42" s="75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11"/>
      <c r="AI42" s="11"/>
      <c r="AJ42" s="11"/>
      <c r="AK42" s="11"/>
    </row>
    <row r="43" spans="1:37" ht="13.5">
      <c r="A43" s="11"/>
      <c r="B43" s="63">
        <f>+B42+1</f>
        <v>3</v>
      </c>
      <c r="C43" s="74"/>
      <c r="D43" s="65"/>
      <c r="E43" s="65">
        <f t="shared" si="25"/>
        <v>47.36872001570295</v>
      </c>
      <c r="F43" s="74"/>
      <c r="G43" s="65"/>
      <c r="H43" s="65">
        <f t="shared" si="24"/>
        <v>7.894786669283823</v>
      </c>
      <c r="I43" s="60">
        <f t="shared" si="26"/>
        <v>0.3255050879095627</v>
      </c>
      <c r="J43" s="75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11"/>
      <c r="AI43" s="11"/>
      <c r="AJ43" s="11"/>
      <c r="AK43" s="11"/>
    </row>
    <row r="44" spans="1:37" ht="13.5">
      <c r="A44" s="11"/>
      <c r="B44" s="63">
        <f>+B43+1</f>
        <v>4</v>
      </c>
      <c r="C44" s="74"/>
      <c r="D44" s="65"/>
      <c r="E44" s="65">
        <f t="shared" si="25"/>
        <v>49.332793261708595</v>
      </c>
      <c r="F44" s="74"/>
      <c r="G44" s="65"/>
      <c r="H44" s="65">
        <f t="shared" si="24"/>
        <v>8.222132210284766</v>
      </c>
      <c r="I44" s="60">
        <f t="shared" si="26"/>
        <v>0.3273455410009435</v>
      </c>
      <c r="J44" s="75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11"/>
      <c r="AI44" s="11"/>
      <c r="AJ44" s="11"/>
      <c r="AK44" s="11"/>
    </row>
    <row r="45" spans="1:37" ht="13.5">
      <c r="A45" s="11"/>
      <c r="B45" s="63">
        <f>+B44+1</f>
        <v>5</v>
      </c>
      <c r="C45" s="74"/>
      <c r="D45" s="65"/>
      <c r="E45" s="65">
        <f t="shared" si="25"/>
        <v>51.307971663398675</v>
      </c>
      <c r="F45" s="74"/>
      <c r="G45" s="65"/>
      <c r="H45" s="65">
        <f t="shared" si="24"/>
        <v>8.551328610566447</v>
      </c>
      <c r="I45" s="60">
        <f t="shared" si="26"/>
        <v>0.3291964002816816</v>
      </c>
      <c r="J45" s="75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11"/>
      <c r="AI45" s="11"/>
      <c r="AJ45" s="11"/>
      <c r="AK45" s="11"/>
    </row>
    <row r="46" spans="1:37" ht="13.5">
      <c r="A46" s="11"/>
      <c r="B46" s="63">
        <f>+B45+1</f>
        <v>6</v>
      </c>
      <c r="C46" s="74"/>
      <c r="D46" s="65"/>
      <c r="E46" s="65">
        <f t="shared" si="25"/>
        <v>53.29431801093799</v>
      </c>
      <c r="F46" s="74"/>
      <c r="G46" s="65"/>
      <c r="H46" s="73">
        <f t="shared" si="24"/>
        <v>8.882386335156331</v>
      </c>
      <c r="I46" s="60">
        <f t="shared" si="26"/>
        <v>0.3310577245898847</v>
      </c>
      <c r="J46" s="75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11"/>
      <c r="AI46" s="11"/>
      <c r="AJ46" s="11"/>
      <c r="AK46" s="11"/>
    </row>
    <row r="47" spans="1:37" ht="33" customHeight="1">
      <c r="A47" s="11"/>
      <c r="B47" s="76"/>
      <c r="C47" s="77" t="s">
        <v>76</v>
      </c>
      <c r="D47" s="77"/>
      <c r="E47" s="77"/>
      <c r="F47" s="77" t="s">
        <v>77</v>
      </c>
      <c r="G47" s="77"/>
      <c r="H47" s="77"/>
      <c r="I47" s="60"/>
      <c r="J47" s="78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11"/>
      <c r="AI47" s="11"/>
      <c r="AJ47" s="11"/>
      <c r="AK47" s="11"/>
    </row>
    <row r="48" spans="1:37" ht="15">
      <c r="A48" s="11"/>
      <c r="B48" s="79"/>
      <c r="C48" s="80">
        <f>C6</f>
        <v>0</v>
      </c>
      <c r="D48" s="81">
        <f>+D41+MAX(E41:E46)</f>
        <v>353.294318010938</v>
      </c>
      <c r="E48" s="81"/>
      <c r="F48" s="80">
        <f>C6</f>
        <v>0</v>
      </c>
      <c r="G48" s="81">
        <f>+G41+MAX(H41:H46)</f>
        <v>58.88238633515633</v>
      </c>
      <c r="H48" s="81"/>
      <c r="I48" s="60"/>
      <c r="J48" s="78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11"/>
      <c r="AI48" s="11"/>
      <c r="AJ48" s="11"/>
      <c r="AK48" s="11"/>
    </row>
    <row r="49" spans="1:37" ht="15">
      <c r="A49" s="11"/>
      <c r="B49" s="82"/>
      <c r="C49" s="80"/>
      <c r="D49" s="80"/>
      <c r="E49" s="81"/>
      <c r="F49" s="80"/>
      <c r="G49" s="80"/>
      <c r="H49" s="81"/>
      <c r="I49" s="60"/>
      <c r="J49" s="78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11"/>
      <c r="AI49" s="11"/>
      <c r="AJ49" s="11"/>
      <c r="AK49" s="11"/>
    </row>
    <row r="50" spans="1:37" ht="13.5">
      <c r="A50" s="11"/>
      <c r="B50" s="11"/>
      <c r="C50" s="11"/>
      <c r="D50" s="11"/>
      <c r="E50" s="11"/>
      <c r="F50" s="11"/>
      <c r="G50" s="11"/>
      <c r="H50" s="11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11"/>
      <c r="AI50" s="11"/>
      <c r="AJ50" s="11"/>
      <c r="AK50" s="11"/>
    </row>
    <row r="51" spans="1:37" ht="13.5">
      <c r="A51" s="11"/>
      <c r="B51" s="11"/>
      <c r="C51" s="12"/>
      <c r="D51" s="11"/>
      <c r="E51" s="11"/>
      <c r="F51" s="11"/>
      <c r="G51" s="11"/>
      <c r="H51" s="11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1"/>
      <c r="AI51" s="11"/>
      <c r="AJ51" s="11"/>
      <c r="AK51" s="11"/>
    </row>
    <row r="52" spans="1:37" ht="13.5">
      <c r="A52" s="11"/>
      <c r="B52" s="11"/>
      <c r="C52" s="12"/>
      <c r="D52" s="11"/>
      <c r="E52" s="11"/>
      <c r="F52" s="11"/>
      <c r="G52" s="11"/>
      <c r="H52" s="11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11"/>
      <c r="AI52" s="11"/>
      <c r="AJ52" s="11"/>
      <c r="AK52" s="11"/>
    </row>
    <row r="53" spans="1:37" ht="13.5">
      <c r="A53" s="11"/>
      <c r="B53" s="11"/>
      <c r="C53" s="12"/>
      <c r="D53" s="11"/>
      <c r="E53" s="11"/>
      <c r="F53" s="11"/>
      <c r="G53" s="11"/>
      <c r="H53" s="11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11"/>
      <c r="AI53" s="11"/>
      <c r="AJ53" s="11"/>
      <c r="AK53" s="11"/>
    </row>
    <row r="54" spans="1:37" ht="13.5">
      <c r="A54" s="11"/>
      <c r="B54" s="11"/>
      <c r="C54" s="12"/>
      <c r="D54" s="11"/>
      <c r="E54" s="11"/>
      <c r="F54" s="11"/>
      <c r="G54" s="11"/>
      <c r="H54" s="11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1"/>
      <c r="AI54" s="11"/>
      <c r="AJ54" s="11"/>
      <c r="AK54" s="11"/>
    </row>
    <row r="55" spans="1:37" ht="13.5">
      <c r="A55" s="11"/>
      <c r="B55" s="11"/>
      <c r="C55" s="12"/>
      <c r="D55" s="11"/>
      <c r="E55" s="11"/>
      <c r="F55" s="11"/>
      <c r="G55" s="11"/>
      <c r="H55" s="1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11"/>
      <c r="AI55" s="11"/>
      <c r="AJ55" s="11"/>
      <c r="AK55" s="11"/>
    </row>
    <row r="56" spans="1:37" ht="13.5">
      <c r="A56" s="11"/>
      <c r="B56" s="11"/>
      <c r="C56" s="12"/>
      <c r="D56" s="11"/>
      <c r="E56" s="11"/>
      <c r="F56" s="11"/>
      <c r="G56" s="11"/>
      <c r="H56" s="11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11"/>
      <c r="AI56" s="11"/>
      <c r="AJ56" s="11"/>
      <c r="AK56" s="11"/>
    </row>
    <row r="57" spans="1:37" ht="13.5">
      <c r="A57" s="11"/>
      <c r="B57" s="11"/>
      <c r="C57" s="11"/>
      <c r="D57" s="11"/>
      <c r="E57" s="11"/>
      <c r="F57" s="11"/>
      <c r="G57" s="11"/>
      <c r="H57" s="11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1"/>
      <c r="AI57" s="11"/>
      <c r="AJ57" s="11"/>
      <c r="AK57" s="11"/>
    </row>
    <row r="58" spans="1:37" ht="13.5">
      <c r="A58" s="11"/>
      <c r="B58" s="11"/>
      <c r="C58" s="11"/>
      <c r="D58" s="11"/>
      <c r="E58" s="11"/>
      <c r="F58" s="11"/>
      <c r="G58" s="11"/>
      <c r="H58" s="11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11"/>
      <c r="AI58" s="11"/>
      <c r="AJ58" s="11"/>
      <c r="AK58" s="11"/>
    </row>
    <row r="59" spans="1:37" ht="13.5">
      <c r="A59" s="11"/>
      <c r="B59" s="11"/>
      <c r="C59" s="11"/>
      <c r="D59" s="11"/>
      <c r="E59" s="11"/>
      <c r="F59" s="11"/>
      <c r="G59" s="11"/>
      <c r="H59" s="11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11"/>
      <c r="AI59" s="11"/>
      <c r="AJ59" s="11"/>
      <c r="AK59" s="11"/>
    </row>
    <row r="60" spans="1:37" ht="13.5">
      <c r="A60" s="11"/>
      <c r="B60" s="11"/>
      <c r="C60" s="11"/>
      <c r="D60" s="11"/>
      <c r="E60" s="11"/>
      <c r="F60" s="11"/>
      <c r="G60" s="11"/>
      <c r="H60" s="11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11"/>
      <c r="AI60" s="11"/>
      <c r="AJ60" s="11"/>
      <c r="AK60" s="11"/>
    </row>
    <row r="61" spans="1:37" ht="13.5">
      <c r="A61" s="11"/>
      <c r="B61" s="11"/>
      <c r="C61" s="11"/>
      <c r="D61" s="11"/>
      <c r="E61" s="11"/>
      <c r="F61" s="11"/>
      <c r="G61" s="11"/>
      <c r="H61" s="11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11"/>
      <c r="AI61" s="11"/>
      <c r="AJ61" s="11"/>
      <c r="AK61" s="11"/>
    </row>
    <row r="62" spans="1:37" ht="13.5">
      <c r="A62" s="11"/>
      <c r="B62" s="11"/>
      <c r="C62" s="11"/>
      <c r="D62" s="11"/>
      <c r="E62" s="11"/>
      <c r="F62" s="11"/>
      <c r="G62" s="11"/>
      <c r="H62" s="11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11"/>
      <c r="AI62" s="11"/>
      <c r="AJ62" s="11"/>
      <c r="AK62" s="11"/>
    </row>
    <row r="63" spans="1:37" ht="13.5">
      <c r="A63" s="11"/>
      <c r="B63" s="11"/>
      <c r="C63" s="11"/>
      <c r="D63" s="11"/>
      <c r="E63" s="11"/>
      <c r="F63" s="11"/>
      <c r="G63" s="11"/>
      <c r="H63" s="11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11"/>
      <c r="AI63" s="11"/>
      <c r="AJ63" s="11"/>
      <c r="AK63" s="11"/>
    </row>
    <row r="64" spans="1:37" ht="13.5">
      <c r="A64" s="11"/>
      <c r="B64" s="11"/>
      <c r="C64" s="11"/>
      <c r="D64" s="11"/>
      <c r="E64" s="11"/>
      <c r="F64" s="11"/>
      <c r="G64" s="11"/>
      <c r="H64" s="11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11"/>
      <c r="AI64" s="11"/>
      <c r="AJ64" s="11"/>
      <c r="AK64" s="11"/>
    </row>
    <row r="65" spans="1:37" ht="13.5">
      <c r="A65" s="11"/>
      <c r="B65" s="11"/>
      <c r="C65" s="11"/>
      <c r="D65" s="11"/>
      <c r="E65" s="11"/>
      <c r="F65" s="11"/>
      <c r="G65" s="11"/>
      <c r="H65" s="11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11"/>
      <c r="AI65" s="11"/>
      <c r="AJ65" s="11"/>
      <c r="AK65" s="11"/>
    </row>
    <row r="66" spans="1:37" ht="13.5">
      <c r="A66" s="11"/>
      <c r="B66" s="11"/>
      <c r="C66" s="11"/>
      <c r="D66" s="11"/>
      <c r="E66" s="11"/>
      <c r="F66" s="11"/>
      <c r="G66" s="11"/>
      <c r="H66" s="11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11"/>
      <c r="AI66" s="11"/>
      <c r="AJ66" s="11"/>
      <c r="AK66" s="11"/>
    </row>
    <row r="67" spans="1:37" ht="13.5">
      <c r="A67" s="11"/>
      <c r="B67" s="11"/>
      <c r="C67" s="11"/>
      <c r="D67" s="11"/>
      <c r="E67" s="11"/>
      <c r="F67" s="11"/>
      <c r="G67" s="11"/>
      <c r="H67" s="11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11"/>
      <c r="AI67" s="11"/>
      <c r="AJ67" s="11"/>
      <c r="AK67" s="11"/>
    </row>
    <row r="68" spans="1:37" ht="13.5">
      <c r="A68" s="11"/>
      <c r="B68" s="11"/>
      <c r="C68" s="11"/>
      <c r="D68" s="11"/>
      <c r="E68" s="11"/>
      <c r="F68" s="11"/>
      <c r="G68" s="11"/>
      <c r="H68" s="11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11"/>
      <c r="AI68" s="11"/>
      <c r="AJ68" s="11"/>
      <c r="AK68" s="11"/>
    </row>
    <row r="69" spans="1:37" ht="13.5">
      <c r="A69" s="11"/>
      <c r="B69" s="11"/>
      <c r="C69" s="11"/>
      <c r="D69" s="11"/>
      <c r="E69" s="11"/>
      <c r="F69" s="11"/>
      <c r="G69" s="11"/>
      <c r="H69" s="11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11"/>
      <c r="AI69" s="11"/>
      <c r="AJ69" s="11"/>
      <c r="AK69" s="11"/>
    </row>
    <row r="70" spans="1:37" ht="13.5">
      <c r="A70" s="11"/>
      <c r="B70" s="11"/>
      <c r="C70" s="11"/>
      <c r="D70" s="11"/>
      <c r="E70" s="11"/>
      <c r="F70" s="11"/>
      <c r="G70" s="11"/>
      <c r="H70" s="11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11"/>
      <c r="AI70" s="11"/>
      <c r="AJ70" s="11"/>
      <c r="AK70" s="11"/>
    </row>
    <row r="71" spans="1:37" ht="13.5">
      <c r="A71" s="11"/>
      <c r="B71" s="11"/>
      <c r="C71" s="11"/>
      <c r="D71" s="11"/>
      <c r="E71" s="11"/>
      <c r="F71" s="11"/>
      <c r="G71" s="11"/>
      <c r="H71" s="11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11"/>
      <c r="AI71" s="11"/>
      <c r="AJ71" s="11"/>
      <c r="AK71" s="11"/>
    </row>
    <row r="72" spans="1:37" ht="13.5">
      <c r="A72" s="11"/>
      <c r="B72" s="11"/>
      <c r="C72" s="11"/>
      <c r="D72" s="11"/>
      <c r="E72" s="11"/>
      <c r="F72" s="11"/>
      <c r="G72" s="11"/>
      <c r="H72" s="11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11"/>
      <c r="AI72" s="11"/>
      <c r="AJ72" s="11"/>
      <c r="AK72" s="11"/>
    </row>
    <row r="73" spans="1:37" ht="13.5">
      <c r="A73" s="11"/>
      <c r="B73" s="11"/>
      <c r="C73" s="11"/>
      <c r="D73" s="11"/>
      <c r="E73" s="11"/>
      <c r="F73" s="11"/>
      <c r="G73" s="11"/>
      <c r="H73" s="11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11"/>
      <c r="AI73" s="11"/>
      <c r="AJ73" s="11"/>
      <c r="AK73" s="11"/>
    </row>
    <row r="74" spans="1:37" ht="13.5">
      <c r="A74" s="11"/>
      <c r="B74" s="11"/>
      <c r="C74" s="11"/>
      <c r="D74" s="11"/>
      <c r="E74" s="11"/>
      <c r="F74" s="11"/>
      <c r="G74" s="11"/>
      <c r="H74" s="11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11"/>
      <c r="AI74" s="11"/>
      <c r="AJ74" s="11"/>
      <c r="AK74" s="11"/>
    </row>
    <row r="75" spans="1:37" ht="13.5">
      <c r="A75" s="11"/>
      <c r="B75" s="11"/>
      <c r="C75" s="11"/>
      <c r="D75" s="11"/>
      <c r="E75" s="11"/>
      <c r="F75" s="11"/>
      <c r="G75" s="11"/>
      <c r="H75" s="11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11"/>
      <c r="AI75" s="11"/>
      <c r="AJ75" s="11"/>
      <c r="AK75" s="11"/>
    </row>
    <row r="76" spans="1:37" ht="13.5">
      <c r="A76" s="11"/>
      <c r="B76" s="11"/>
      <c r="C76" s="11"/>
      <c r="D76" s="11"/>
      <c r="E76" s="11"/>
      <c r="F76" s="11"/>
      <c r="G76" s="11"/>
      <c r="H76" s="11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11"/>
      <c r="AI76" s="11"/>
      <c r="AJ76" s="11"/>
      <c r="AK76" s="11"/>
    </row>
    <row r="77" spans="1:37" ht="13.5">
      <c r="A77" s="11"/>
      <c r="B77" s="11"/>
      <c r="C77" s="11"/>
      <c r="D77" s="11"/>
      <c r="E77" s="11"/>
      <c r="F77" s="11"/>
      <c r="G77" s="11"/>
      <c r="H77" s="11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11"/>
      <c r="AI77" s="11"/>
      <c r="AJ77" s="11"/>
      <c r="AK77" s="11"/>
    </row>
    <row r="78" spans="1:37" ht="13.5">
      <c r="A78" s="11"/>
      <c r="B78" s="11"/>
      <c r="C78" s="11"/>
      <c r="D78" s="11"/>
      <c r="E78" s="11"/>
      <c r="F78" s="11"/>
      <c r="G78" s="11"/>
      <c r="H78" s="11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11"/>
      <c r="AI78" s="11"/>
      <c r="AJ78" s="11"/>
      <c r="AK78" s="11"/>
    </row>
    <row r="79" spans="1:37" ht="13.5">
      <c r="A79" s="11"/>
      <c r="B79" s="11"/>
      <c r="C79" s="11"/>
      <c r="D79" s="11"/>
      <c r="E79" s="11"/>
      <c r="F79" s="11"/>
      <c r="G79" s="11"/>
      <c r="H79" s="11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11"/>
      <c r="AI79" s="11"/>
      <c r="AJ79" s="11"/>
      <c r="AK79" s="11"/>
    </row>
    <row r="80" spans="1:37" ht="13.5">
      <c r="A80" s="11"/>
      <c r="B80" s="11"/>
      <c r="C80" s="11"/>
      <c r="D80" s="11"/>
      <c r="E80" s="11"/>
      <c r="F80" s="11"/>
      <c r="G80" s="11"/>
      <c r="H80" s="11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11"/>
      <c r="AI80" s="11"/>
      <c r="AJ80" s="11"/>
      <c r="AK80" s="11"/>
    </row>
    <row r="81" spans="1:37" ht="13.5">
      <c r="A81" s="11"/>
      <c r="B81" s="11"/>
      <c r="C81" s="11"/>
      <c r="D81" s="11"/>
      <c r="E81" s="11"/>
      <c r="F81" s="11"/>
      <c r="G81" s="11"/>
      <c r="H81" s="11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11"/>
      <c r="AI81" s="11"/>
      <c r="AJ81" s="11"/>
      <c r="AK81" s="11"/>
    </row>
    <row r="82" spans="1:37" ht="13.5">
      <c r="A82" s="11"/>
      <c r="B82" s="11"/>
      <c r="C82" s="11"/>
      <c r="D82" s="11"/>
      <c r="E82" s="11"/>
      <c r="F82" s="11"/>
      <c r="G82" s="11"/>
      <c r="H82" s="11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11"/>
      <c r="AI82" s="11"/>
      <c r="AJ82" s="11"/>
      <c r="AK82" s="11"/>
    </row>
    <row r="83" spans="1:37" ht="13.5">
      <c r="A83" s="11"/>
      <c r="B83" s="11"/>
      <c r="C83" s="11"/>
      <c r="D83" s="11"/>
      <c r="E83" s="11"/>
      <c r="F83" s="11"/>
      <c r="G83" s="11"/>
      <c r="H83" s="11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11"/>
      <c r="AI83" s="11"/>
      <c r="AJ83" s="11"/>
      <c r="AK83" s="11"/>
    </row>
    <row r="84" spans="1:37" ht="13.5">
      <c r="A84" s="11"/>
      <c r="B84" s="11"/>
      <c r="C84" s="11"/>
      <c r="D84" s="11"/>
      <c r="E84" s="11"/>
      <c r="F84" s="11"/>
      <c r="G84" s="11"/>
      <c r="H84" s="11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11"/>
      <c r="AI84" s="11"/>
      <c r="AJ84" s="11"/>
      <c r="AK84" s="11"/>
    </row>
    <row r="85" spans="1:37" ht="13.5">
      <c r="A85" s="11"/>
      <c r="B85" s="11"/>
      <c r="C85" s="11"/>
      <c r="D85" s="11"/>
      <c r="E85" s="11"/>
      <c r="F85" s="11"/>
      <c r="G85" s="11"/>
      <c r="H85" s="11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11"/>
      <c r="AI85" s="11"/>
      <c r="AJ85" s="11"/>
      <c r="AK85" s="11"/>
    </row>
    <row r="86" spans="1:37" ht="13.5">
      <c r="A86" s="11"/>
      <c r="B86" s="11"/>
      <c r="C86" s="11"/>
      <c r="D86" s="11"/>
      <c r="E86" s="11"/>
      <c r="F86" s="11"/>
      <c r="G86" s="11"/>
      <c r="H86" s="11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11"/>
      <c r="AI86" s="11"/>
      <c r="AJ86" s="11"/>
      <c r="AK86" s="11"/>
    </row>
    <row r="87" spans="1:37" ht="13.5">
      <c r="A87" s="11"/>
      <c r="B87" s="11"/>
      <c r="C87" s="11"/>
      <c r="D87" s="11"/>
      <c r="E87" s="11"/>
      <c r="F87" s="11"/>
      <c r="G87" s="11"/>
      <c r="H87" s="11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11"/>
      <c r="AI87" s="11"/>
      <c r="AJ87" s="11"/>
      <c r="AK87" s="11"/>
    </row>
    <row r="88" spans="1:37" ht="13.5">
      <c r="A88" s="11"/>
      <c r="B88" s="11"/>
      <c r="C88" s="11"/>
      <c r="D88" s="11"/>
      <c r="E88" s="11"/>
      <c r="F88" s="11"/>
      <c r="G88" s="11"/>
      <c r="H88" s="11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11"/>
      <c r="AI88" s="11"/>
      <c r="AJ88" s="11"/>
      <c r="AK88" s="11"/>
    </row>
    <row r="89" spans="1:37" ht="13.5">
      <c r="A89" s="11"/>
      <c r="B89" s="11"/>
      <c r="C89" s="11"/>
      <c r="D89" s="11"/>
      <c r="E89" s="11"/>
      <c r="F89" s="11"/>
      <c r="G89" s="11"/>
      <c r="H89" s="11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11"/>
      <c r="AI89" s="11"/>
      <c r="AJ89" s="11"/>
      <c r="AK89" s="11"/>
    </row>
    <row r="90" spans="1:37" ht="13.5">
      <c r="A90" s="11"/>
      <c r="B90" s="11"/>
      <c r="C90" s="11"/>
      <c r="D90" s="11"/>
      <c r="E90" s="11"/>
      <c r="F90" s="11"/>
      <c r="G90" s="11"/>
      <c r="H90" s="11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11"/>
      <c r="AI90" s="11"/>
      <c r="AJ90" s="11"/>
      <c r="AK90" s="11"/>
    </row>
    <row r="91" spans="1:37" ht="13.5">
      <c r="A91" s="11"/>
      <c r="B91" s="11"/>
      <c r="C91" s="11"/>
      <c r="D91" s="11"/>
      <c r="E91" s="11"/>
      <c r="F91" s="11"/>
      <c r="G91" s="11"/>
      <c r="H91" s="11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11"/>
      <c r="AI91" s="11"/>
      <c r="AJ91" s="11"/>
      <c r="AK91" s="11"/>
    </row>
    <row r="92" spans="1:37" ht="13.5">
      <c r="A92" s="11"/>
      <c r="B92" s="11"/>
      <c r="C92" s="11"/>
      <c r="D92" s="11"/>
      <c r="E92" s="11"/>
      <c r="F92" s="11"/>
      <c r="G92" s="11"/>
      <c r="H92" s="11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11"/>
      <c r="AI92" s="11"/>
      <c r="AJ92" s="11"/>
      <c r="AK92" s="11"/>
    </row>
    <row r="93" spans="1:37" ht="13.5">
      <c r="A93" s="11"/>
      <c r="B93" s="11"/>
      <c r="C93" s="11"/>
      <c r="D93" s="11"/>
      <c r="E93" s="11"/>
      <c r="F93" s="11"/>
      <c r="G93" s="11"/>
      <c r="H93" s="11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11"/>
      <c r="AI93" s="11"/>
      <c r="AJ93" s="11"/>
      <c r="AK93" s="11"/>
    </row>
    <row r="94" spans="1:37" ht="13.5">
      <c r="A94" s="11"/>
      <c r="B94" s="11"/>
      <c r="C94" s="11"/>
      <c r="D94" s="11"/>
      <c r="E94" s="11"/>
      <c r="F94" s="11"/>
      <c r="G94" s="11"/>
      <c r="H94" s="11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11"/>
      <c r="AI94" s="11"/>
      <c r="AJ94" s="11"/>
      <c r="AK94" s="11"/>
    </row>
    <row r="95" spans="1:37" ht="13.5">
      <c r="A95" s="11"/>
      <c r="B95" s="11"/>
      <c r="C95" s="11"/>
      <c r="D95" s="11"/>
      <c r="E95" s="11"/>
      <c r="F95" s="11"/>
      <c r="G95" s="11"/>
      <c r="H95" s="11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11"/>
      <c r="AI95" s="11"/>
      <c r="AJ95" s="11"/>
      <c r="AK95" s="11"/>
    </row>
    <row r="96" spans="1:37" ht="13.5">
      <c r="A96" s="11"/>
      <c r="B96" s="11"/>
      <c r="C96" s="11"/>
      <c r="D96" s="11"/>
      <c r="E96" s="11"/>
      <c r="F96" s="11"/>
      <c r="G96" s="11"/>
      <c r="H96" s="11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11"/>
      <c r="AI96" s="11"/>
      <c r="AJ96" s="11"/>
      <c r="AK96" s="11"/>
    </row>
    <row r="97" spans="1:37" ht="13.5">
      <c r="A97" s="11"/>
      <c r="B97" s="11"/>
      <c r="C97" s="11"/>
      <c r="D97" s="11"/>
      <c r="E97" s="11"/>
      <c r="F97" s="11"/>
      <c r="G97" s="11"/>
      <c r="H97" s="11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11"/>
      <c r="AI97" s="11"/>
      <c r="AJ97" s="11"/>
      <c r="AK97" s="11"/>
    </row>
    <row r="98" spans="1:37" ht="13.5">
      <c r="A98" s="11"/>
      <c r="B98" s="11"/>
      <c r="C98" s="11"/>
      <c r="D98" s="11"/>
      <c r="E98" s="11"/>
      <c r="F98" s="11"/>
      <c r="G98" s="11"/>
      <c r="H98" s="11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11"/>
      <c r="AI98" s="11"/>
      <c r="AJ98" s="11"/>
      <c r="AK98" s="11"/>
    </row>
    <row r="99" spans="1:37" ht="13.5">
      <c r="A99" s="11"/>
      <c r="B99" s="11"/>
      <c r="C99" s="11"/>
      <c r="D99" s="11"/>
      <c r="E99" s="11"/>
      <c r="F99" s="11"/>
      <c r="G99" s="11"/>
      <c r="H99" s="11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11"/>
      <c r="AI99" s="11"/>
      <c r="AJ99" s="11"/>
      <c r="AK99" s="11"/>
    </row>
    <row r="100" spans="1:37" ht="13.5">
      <c r="A100" s="11"/>
      <c r="B100" s="11"/>
      <c r="C100" s="11"/>
      <c r="D100" s="11"/>
      <c r="E100" s="11"/>
      <c r="F100" s="11"/>
      <c r="G100" s="11"/>
      <c r="H100" s="11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11"/>
      <c r="AI100" s="11"/>
      <c r="AJ100" s="11"/>
      <c r="AK100" s="11"/>
    </row>
    <row r="101" spans="1:37" ht="13.5">
      <c r="A101" s="11"/>
      <c r="B101" s="11"/>
      <c r="C101" s="11"/>
      <c r="D101" s="11"/>
      <c r="E101" s="11"/>
      <c r="F101" s="11"/>
      <c r="G101" s="11"/>
      <c r="H101" s="11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11"/>
      <c r="AI101" s="11"/>
      <c r="AJ101" s="11"/>
      <c r="AK101" s="11"/>
    </row>
    <row r="102" spans="1:37" ht="13.5">
      <c r="A102" s="11"/>
      <c r="B102" s="11"/>
      <c r="C102" s="11"/>
      <c r="D102" s="11"/>
      <c r="E102" s="11"/>
      <c r="F102" s="11"/>
      <c r="G102" s="11"/>
      <c r="H102" s="11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11"/>
      <c r="AI102" s="11"/>
      <c r="AJ102" s="11"/>
      <c r="AK102" s="11"/>
    </row>
    <row r="103" spans="1:37" ht="13.5">
      <c r="A103" s="11"/>
      <c r="B103" s="11"/>
      <c r="C103" s="11"/>
      <c r="D103" s="11"/>
      <c r="E103" s="11"/>
      <c r="F103" s="11"/>
      <c r="G103" s="11"/>
      <c r="H103" s="11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11"/>
      <c r="AI103" s="11"/>
      <c r="AJ103" s="11"/>
      <c r="AK103" s="11"/>
    </row>
    <row r="104" spans="1:37" ht="13.5">
      <c r="A104" s="11"/>
      <c r="B104" s="11"/>
      <c r="C104" s="11"/>
      <c r="D104" s="11"/>
      <c r="E104" s="11"/>
      <c r="F104" s="11"/>
      <c r="G104" s="11"/>
      <c r="H104" s="11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11"/>
      <c r="AI104" s="11"/>
      <c r="AJ104" s="11"/>
      <c r="AK104" s="11"/>
    </row>
    <row r="105" spans="1:37" ht="13.5">
      <c r="A105" s="11"/>
      <c r="B105" s="11"/>
      <c r="C105" s="11"/>
      <c r="D105" s="11"/>
      <c r="E105" s="11"/>
      <c r="F105" s="11"/>
      <c r="G105" s="11"/>
      <c r="H105" s="11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11"/>
      <c r="AI105" s="11"/>
      <c r="AJ105" s="11"/>
      <c r="AK105" s="11"/>
    </row>
    <row r="106" spans="1:37" ht="13.5">
      <c r="A106" s="11"/>
      <c r="B106" s="11"/>
      <c r="C106" s="11"/>
      <c r="D106" s="11"/>
      <c r="E106" s="11"/>
      <c r="F106" s="11"/>
      <c r="G106" s="11"/>
      <c r="H106" s="11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11"/>
      <c r="AI106" s="11"/>
      <c r="AJ106" s="11"/>
      <c r="AK106" s="11"/>
    </row>
    <row r="107" spans="1:37" ht="13.5">
      <c r="A107" s="11"/>
      <c r="B107" s="11"/>
      <c r="C107" s="11"/>
      <c r="D107" s="11"/>
      <c r="E107" s="11"/>
      <c r="F107" s="11"/>
      <c r="G107" s="11"/>
      <c r="H107" s="11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11"/>
      <c r="AI107" s="11"/>
      <c r="AJ107" s="11"/>
      <c r="AK107" s="11"/>
    </row>
    <row r="108" spans="1:37" ht="13.5">
      <c r="A108" s="11"/>
      <c r="B108" s="11"/>
      <c r="C108" s="11"/>
      <c r="D108" s="11"/>
      <c r="E108" s="11"/>
      <c r="F108" s="11"/>
      <c r="G108" s="11"/>
      <c r="H108" s="11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11"/>
      <c r="AI108" s="11"/>
      <c r="AJ108" s="11"/>
      <c r="AK108" s="11"/>
    </row>
    <row r="109" spans="1:37" ht="13.5">
      <c r="A109" s="11"/>
      <c r="B109" s="11"/>
      <c r="C109" s="11"/>
      <c r="D109" s="11"/>
      <c r="E109" s="11"/>
      <c r="F109" s="11"/>
      <c r="G109" s="11"/>
      <c r="H109" s="11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11"/>
      <c r="AI109" s="11"/>
      <c r="AJ109" s="11"/>
      <c r="AK109" s="11"/>
    </row>
    <row r="110" spans="1:37" ht="13.5">
      <c r="A110" s="11"/>
      <c r="B110" s="11"/>
      <c r="C110" s="11"/>
      <c r="D110" s="11"/>
      <c r="E110" s="11"/>
      <c r="F110" s="11"/>
      <c r="G110" s="11"/>
      <c r="H110" s="11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11"/>
      <c r="AI110" s="11"/>
      <c r="AJ110" s="11"/>
      <c r="AK110" s="11"/>
    </row>
    <row r="111" spans="1:37" ht="13.5">
      <c r="A111" s="11"/>
      <c r="B111" s="11"/>
      <c r="C111" s="11"/>
      <c r="D111" s="11"/>
      <c r="E111" s="11"/>
      <c r="F111" s="11"/>
      <c r="G111" s="11"/>
      <c r="H111" s="11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11"/>
      <c r="AI111" s="11"/>
      <c r="AJ111" s="11"/>
      <c r="AK111" s="11"/>
    </row>
    <row r="112" spans="1:37" ht="13.5">
      <c r="A112" s="11"/>
      <c r="B112" s="11"/>
      <c r="C112" s="11"/>
      <c r="D112" s="11"/>
      <c r="E112" s="11"/>
      <c r="F112" s="11"/>
      <c r="G112" s="11"/>
      <c r="H112" s="11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11"/>
      <c r="AI112" s="11"/>
      <c r="AJ112" s="11"/>
      <c r="AK112" s="11"/>
    </row>
    <row r="113" spans="1:37" ht="13.5">
      <c r="A113" s="11"/>
      <c r="B113" s="11"/>
      <c r="C113" s="11"/>
      <c r="D113" s="11"/>
      <c r="E113" s="11"/>
      <c r="F113" s="11"/>
      <c r="G113" s="11"/>
      <c r="H113" s="11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11"/>
      <c r="AI113" s="11"/>
      <c r="AJ113" s="11"/>
      <c r="AK113" s="11"/>
    </row>
    <row r="114" spans="1:37" ht="13.5">
      <c r="A114" s="11"/>
      <c r="B114" s="11"/>
      <c r="C114" s="11"/>
      <c r="D114" s="11"/>
      <c r="E114" s="11"/>
      <c r="F114" s="11"/>
      <c r="G114" s="11"/>
      <c r="H114" s="11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11"/>
      <c r="AI114" s="11"/>
      <c r="AJ114" s="11"/>
      <c r="AK114" s="11"/>
    </row>
    <row r="115" spans="1:37" ht="13.5">
      <c r="A115" s="11"/>
      <c r="B115" s="11"/>
      <c r="C115" s="11"/>
      <c r="D115" s="11"/>
      <c r="E115" s="11"/>
      <c r="F115" s="11"/>
      <c r="G115" s="11"/>
      <c r="H115" s="11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11"/>
      <c r="AI115" s="11"/>
      <c r="AJ115" s="11"/>
      <c r="AK115" s="11"/>
    </row>
    <row r="116" spans="1:37" ht="13.5">
      <c r="A116" s="11"/>
      <c r="B116" s="11"/>
      <c r="C116" s="11"/>
      <c r="D116" s="11"/>
      <c r="E116" s="11"/>
      <c r="F116" s="11"/>
      <c r="G116" s="11"/>
      <c r="H116" s="11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11"/>
      <c r="AI116" s="11"/>
      <c r="AJ116" s="11"/>
      <c r="AK116" s="11"/>
    </row>
    <row r="117" spans="1:37" ht="13.5">
      <c r="A117" s="11"/>
      <c r="B117" s="11"/>
      <c r="C117" s="11"/>
      <c r="D117" s="11"/>
      <c r="E117" s="11"/>
      <c r="F117" s="11"/>
      <c r="G117" s="11"/>
      <c r="H117" s="11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11"/>
      <c r="AI117" s="11"/>
      <c r="AJ117" s="11"/>
      <c r="AK117" s="11"/>
    </row>
    <row r="118" spans="1:37" ht="13.5">
      <c r="A118" s="11"/>
      <c r="B118" s="11"/>
      <c r="C118" s="11"/>
      <c r="D118" s="11"/>
      <c r="E118" s="11"/>
      <c r="F118" s="11"/>
      <c r="G118" s="11"/>
      <c r="H118" s="11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11"/>
      <c r="AI118" s="11"/>
      <c r="AJ118" s="11"/>
      <c r="AK118" s="11"/>
    </row>
  </sheetData>
  <sheetProtection sheet="1" objects="1" scenarios="1"/>
  <mergeCells count="12">
    <mergeCell ref="H11:AK12"/>
    <mergeCell ref="AI16:AK31"/>
    <mergeCell ref="C41:C46"/>
    <mergeCell ref="D41:D46"/>
    <mergeCell ref="F41:F46"/>
    <mergeCell ref="G41:G46"/>
    <mergeCell ref="C47:E47"/>
    <mergeCell ref="F47:H47"/>
    <mergeCell ref="C48:C49"/>
    <mergeCell ref="D48:E49"/>
    <mergeCell ref="F48:F49"/>
    <mergeCell ref="G48:H49"/>
  </mergeCell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8"/>
  <sheetViews>
    <sheetView showGridLines="0" workbookViewId="0" topLeftCell="A1">
      <selection activeCell="AT12" sqref="AT12"/>
    </sheetView>
  </sheetViews>
  <sheetFormatPr defaultColWidth="11.421875" defaultRowHeight="15"/>
  <cols>
    <col min="1" max="1" width="3.00390625" style="11" customWidth="1"/>
    <col min="2" max="2" width="19.00390625" style="8" customWidth="1"/>
    <col min="3" max="3" width="9.57421875" style="9" customWidth="1"/>
    <col min="4" max="4" width="11.421875" style="9" customWidth="1"/>
    <col min="5" max="5" width="13.421875" style="10" customWidth="1"/>
    <col min="6" max="6" width="14.57421875" style="10" customWidth="1"/>
    <col min="7" max="8" width="13.421875" style="10" customWidth="1"/>
    <col min="9" max="9" width="0" style="10" hidden="1" customWidth="1"/>
    <col min="10" max="10" width="0" style="9" hidden="1" customWidth="1"/>
    <col min="11" max="40" width="0" style="8" hidden="1" customWidth="1"/>
    <col min="41" max="41" width="11.421875" style="8" customWidth="1"/>
    <col min="42" max="42" width="17.7109375" style="8" customWidth="1"/>
    <col min="43" max="16384" width="11.421875" style="8" customWidth="1"/>
  </cols>
  <sheetData>
    <row r="1" spans="3:43" ht="27">
      <c r="C1" s="11"/>
      <c r="D1" s="13" t="s">
        <v>38</v>
      </c>
      <c r="E1" s="11"/>
      <c r="F1" s="11"/>
      <c r="G1" s="11"/>
      <c r="H1" s="11"/>
      <c r="I1" s="11"/>
      <c r="J1" s="11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N1" s="11"/>
      <c r="AO1" s="11"/>
      <c r="AP1" s="11"/>
      <c r="AQ1" s="11"/>
    </row>
    <row r="2" spans="1:43" s="87" customFormat="1" ht="23.25">
      <c r="A2" s="83"/>
      <c r="B2" s="17" t="s">
        <v>39</v>
      </c>
      <c r="C2" s="84"/>
      <c r="D2" s="84"/>
      <c r="E2" s="48" t="s">
        <v>40</v>
      </c>
      <c r="F2" s="48"/>
      <c r="G2" s="48"/>
      <c r="H2" s="48"/>
      <c r="I2" s="83"/>
      <c r="J2" s="83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6"/>
      <c r="AM2" s="86"/>
      <c r="AN2" s="83"/>
      <c r="AO2" s="83"/>
      <c r="AP2" s="17" t="s">
        <v>41</v>
      </c>
      <c r="AQ2" s="83"/>
    </row>
    <row r="3" spans="2:43" ht="22.5" customHeight="1">
      <c r="B3" s="13"/>
      <c r="C3" s="12"/>
      <c r="D3" s="12"/>
      <c r="E3" s="21"/>
      <c r="F3" s="11"/>
      <c r="G3" s="11"/>
      <c r="H3" s="11"/>
      <c r="I3" s="11"/>
      <c r="J3" s="11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N3" s="11"/>
      <c r="AO3" s="11"/>
      <c r="AP3" s="11"/>
      <c r="AQ3" s="11"/>
    </row>
    <row r="4" spans="2:43" ht="45">
      <c r="B4" s="22" t="s">
        <v>42</v>
      </c>
      <c r="C4" s="23">
        <v>0.07</v>
      </c>
      <c r="D4" s="12"/>
      <c r="E4" s="12"/>
      <c r="F4" s="24" t="s">
        <v>43</v>
      </c>
      <c r="G4" s="24" t="s">
        <v>44</v>
      </c>
      <c r="H4" s="24" t="s">
        <v>45</v>
      </c>
      <c r="I4" s="11"/>
      <c r="J4" s="11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N4" s="11"/>
      <c r="AO4" s="11"/>
      <c r="AP4" s="22" t="s">
        <v>46</v>
      </c>
      <c r="AQ4" s="25">
        <f>D54+G54</f>
        <v>3503.6817896427065</v>
      </c>
    </row>
    <row r="5" spans="2:43" ht="60">
      <c r="B5" s="22" t="s">
        <v>47</v>
      </c>
      <c r="C5" s="23">
        <v>0.07</v>
      </c>
      <c r="D5" s="27"/>
      <c r="E5" s="24" t="s">
        <v>48</v>
      </c>
      <c r="F5" s="28">
        <v>2200</v>
      </c>
      <c r="G5" s="28">
        <v>3000</v>
      </c>
      <c r="H5" s="28">
        <v>3200</v>
      </c>
      <c r="I5" s="11"/>
      <c r="J5" s="11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N5" s="11"/>
      <c r="AO5" s="11"/>
      <c r="AP5" s="30" t="s">
        <v>49</v>
      </c>
      <c r="AQ5" s="31">
        <f>D54</f>
        <v>3390.6597964284256</v>
      </c>
    </row>
    <row r="6" spans="1:49" s="29" customFormat="1" ht="45">
      <c r="A6" s="11"/>
      <c r="B6" s="22" t="s">
        <v>50</v>
      </c>
      <c r="C6" s="32" t="s">
        <v>51</v>
      </c>
      <c r="D6" s="33"/>
      <c r="E6" s="24" t="s">
        <v>52</v>
      </c>
      <c r="F6" s="34">
        <v>1</v>
      </c>
      <c r="G6" s="34">
        <v>2</v>
      </c>
      <c r="H6" s="34">
        <v>3</v>
      </c>
      <c r="I6" s="11"/>
      <c r="J6" s="11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N6" s="26"/>
      <c r="AO6" s="26"/>
      <c r="AP6" s="30" t="s">
        <v>53</v>
      </c>
      <c r="AQ6" s="31">
        <f>G54</f>
        <v>113.02199321428083</v>
      </c>
      <c r="AS6" s="88"/>
      <c r="AT6" s="88"/>
      <c r="AU6" s="88"/>
      <c r="AV6" s="88"/>
      <c r="AW6" s="88"/>
    </row>
    <row r="7" spans="2:49" ht="27.75">
      <c r="B7" s="35" t="s">
        <v>54</v>
      </c>
      <c r="C7" s="36">
        <f>IF(D41&gt;MIN(F10,F11),"el préstamo no puede superar el 85% del total del presupuesto ni ser mayor al préstamo otorgado",D41)</f>
        <v>2500</v>
      </c>
      <c r="D7" s="33"/>
      <c r="E7" s="26"/>
      <c r="F7" s="26"/>
      <c r="G7" s="26"/>
      <c r="H7" s="26"/>
      <c r="I7" s="11"/>
      <c r="J7" s="11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N7" s="11"/>
      <c r="AO7" s="11"/>
      <c r="AP7" s="22" t="s">
        <v>55</v>
      </c>
      <c r="AQ7" s="37">
        <v>300</v>
      </c>
      <c r="AS7" s="89"/>
      <c r="AT7" s="89"/>
      <c r="AU7" s="89"/>
      <c r="AV7" s="89"/>
      <c r="AW7" s="89"/>
    </row>
    <row r="8" spans="2:49" ht="75">
      <c r="B8" s="35" t="s">
        <v>78</v>
      </c>
      <c r="C8" s="38">
        <v>100</v>
      </c>
      <c r="D8" s="33"/>
      <c r="E8" s="35" t="s">
        <v>57</v>
      </c>
      <c r="F8" s="39">
        <v>500</v>
      </c>
      <c r="G8" s="26"/>
      <c r="H8" s="26"/>
      <c r="I8" s="11"/>
      <c r="J8" s="1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N8" s="11"/>
      <c r="AO8" s="11"/>
      <c r="AP8" s="22" t="s">
        <v>58</v>
      </c>
      <c r="AQ8" s="40">
        <f>+IF(ISERROR(PMT(((1+$C$4)^(0.0833333333333333)-1),AQ7,-AQ4)),0,PMT(((1+$C$4)^(0.0833333333333333)-1),AQ7,-AQ4))</f>
        <v>24.284776287043528</v>
      </c>
      <c r="AS8" s="89"/>
      <c r="AT8" s="89"/>
      <c r="AU8" s="89"/>
      <c r="AV8" s="89"/>
      <c r="AW8" s="89"/>
    </row>
    <row r="9" spans="2:49" ht="45">
      <c r="B9" s="11"/>
      <c r="C9" s="11"/>
      <c r="D9" s="11"/>
      <c r="E9" s="35" t="s">
        <v>79</v>
      </c>
      <c r="F9" s="41">
        <f>0.9*(F5*F6+G5*G6+H5*H6)+F8</f>
        <v>16520</v>
      </c>
      <c r="G9" s="11"/>
      <c r="H9" s="11"/>
      <c r="I9" s="11"/>
      <c r="J9" s="1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N9" s="11"/>
      <c r="AO9" s="11"/>
      <c r="AP9" s="22" t="s">
        <v>60</v>
      </c>
      <c r="AQ9" s="40">
        <f>+IF(ISERROR(PMT(((1+$C$4)^(0.0833333333333333)-1),AQ7,-AQ5)),0,PMT(((1+$C$4)^(0.0833333333333333)-1),AQ7,-AQ5))</f>
        <v>23.501396406816315</v>
      </c>
      <c r="AS9" s="89"/>
      <c r="AT9" s="89"/>
      <c r="AU9" s="89"/>
      <c r="AV9" s="89"/>
      <c r="AW9" s="89"/>
    </row>
    <row r="10" spans="2:49" ht="45">
      <c r="B10" s="46"/>
      <c r="C10" s="33"/>
      <c r="D10" s="33"/>
      <c r="E10" s="35" t="s">
        <v>61</v>
      </c>
      <c r="F10" s="41">
        <f>0.85*F9</f>
        <v>14042</v>
      </c>
      <c r="G10" s="11"/>
      <c r="H10" s="11"/>
      <c r="I10" s="11"/>
      <c r="J10" s="11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N10" s="11"/>
      <c r="AO10" s="11"/>
      <c r="AP10" s="11"/>
      <c r="AQ10" s="11"/>
      <c r="AS10" s="89"/>
      <c r="AT10" s="89"/>
      <c r="AU10" s="89"/>
      <c r="AV10" s="89"/>
      <c r="AW10" s="89"/>
    </row>
    <row r="11" spans="2:51" ht="60" customHeight="1">
      <c r="B11" s="46"/>
      <c r="C11" s="33"/>
      <c r="D11" s="33"/>
      <c r="E11" s="35" t="s">
        <v>62</v>
      </c>
      <c r="F11" s="43">
        <v>14042</v>
      </c>
      <c r="G11" s="11"/>
      <c r="H11" s="35" t="s">
        <v>63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45"/>
      <c r="AS11" s="45"/>
      <c r="AT11" s="45"/>
      <c r="AU11" s="45"/>
      <c r="AV11" s="45"/>
      <c r="AW11" s="45"/>
      <c r="AX11" s="45"/>
      <c r="AY11" s="45"/>
    </row>
    <row r="12" spans="2:49" ht="27.75">
      <c r="B12" s="11"/>
      <c r="C12" s="11"/>
      <c r="D12" s="11"/>
      <c r="E12" s="35" t="s">
        <v>64</v>
      </c>
      <c r="F12" s="41">
        <f>0.15*F11/0.85</f>
        <v>2477.9999999999995</v>
      </c>
      <c r="G12" s="11"/>
      <c r="H12" s="11"/>
      <c r="I12" s="11"/>
      <c r="J12" s="11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N12" s="11"/>
      <c r="AO12" s="11"/>
      <c r="AP12" s="11"/>
      <c r="AQ12" s="11"/>
      <c r="AS12" s="89"/>
      <c r="AT12" s="89"/>
      <c r="AU12" s="89"/>
      <c r="AV12" s="89"/>
      <c r="AW12" s="89"/>
    </row>
    <row r="13" spans="2:49" ht="13.5">
      <c r="B13" s="11"/>
      <c r="C13" s="11"/>
      <c r="D13" s="11"/>
      <c r="E13" s="11"/>
      <c r="F13" s="11"/>
      <c r="G13" s="11"/>
      <c r="H13" s="11"/>
      <c r="I13" s="11"/>
      <c r="J13" s="1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N13" s="11"/>
      <c r="AO13" s="11"/>
      <c r="AP13" s="11"/>
      <c r="AQ13" s="11"/>
      <c r="AS13" s="89"/>
      <c r="AT13" s="89"/>
      <c r="AU13" s="89"/>
      <c r="AV13" s="89"/>
      <c r="AW13" s="89"/>
    </row>
    <row r="14" spans="1:49" ht="23.25">
      <c r="A14" s="83"/>
      <c r="B14" s="48" t="s">
        <v>65</v>
      </c>
      <c r="C14" s="16"/>
      <c r="D14" s="16"/>
      <c r="E14" s="16"/>
      <c r="F14" s="16"/>
      <c r="G14" s="16"/>
      <c r="H14" s="16"/>
      <c r="I14" s="16"/>
      <c r="J14" s="16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1"/>
      <c r="AM14" s="91"/>
      <c r="AN14" s="16"/>
      <c r="AO14" s="16"/>
      <c r="AP14" s="16"/>
      <c r="AQ14" s="16"/>
      <c r="AS14" s="89"/>
      <c r="AT14" s="89"/>
      <c r="AU14" s="89"/>
      <c r="AV14" s="89"/>
      <c r="AW14" s="89"/>
    </row>
    <row r="15" spans="2:49" ht="13.5">
      <c r="B15" s="11"/>
      <c r="C15" s="11"/>
      <c r="D15" s="11"/>
      <c r="E15" s="11"/>
      <c r="F15" s="11"/>
      <c r="G15" s="11"/>
      <c r="H15" s="11"/>
      <c r="I15" s="11"/>
      <c r="J15" s="11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N15" s="11"/>
      <c r="AO15" s="92"/>
      <c r="AP15" s="92"/>
      <c r="AQ15" s="92"/>
      <c r="AS15" s="89"/>
      <c r="AT15" s="89"/>
      <c r="AU15" s="89"/>
      <c r="AV15" s="89"/>
      <c r="AW15" s="89"/>
    </row>
    <row r="16" spans="1:49" s="29" customFormat="1" ht="48.75">
      <c r="A16" s="11"/>
      <c r="B16" s="49" t="s">
        <v>66</v>
      </c>
      <c r="C16" s="50" t="s">
        <v>67</v>
      </c>
      <c r="D16" s="50" t="s">
        <v>68</v>
      </c>
      <c r="E16" s="51" t="s">
        <v>69</v>
      </c>
      <c r="F16" s="50" t="s">
        <v>70</v>
      </c>
      <c r="G16" s="50" t="s">
        <v>71</v>
      </c>
      <c r="H16" s="51" t="s">
        <v>72</v>
      </c>
      <c r="I16" s="52" t="s">
        <v>73</v>
      </c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N16" s="26"/>
      <c r="AO16" s="55"/>
      <c r="AP16" s="55"/>
      <c r="AQ16" s="55"/>
      <c r="AS16" s="88"/>
      <c r="AT16" s="93"/>
      <c r="AU16" s="93"/>
      <c r="AV16" s="93"/>
      <c r="AW16" s="88"/>
    </row>
    <row r="17" spans="2:49" ht="13.5">
      <c r="B17" s="56">
        <v>1</v>
      </c>
      <c r="C17" s="57">
        <v>100</v>
      </c>
      <c r="D17" s="58">
        <f>+SUM(C17)</f>
        <v>100</v>
      </c>
      <c r="E17" s="58">
        <f>+SUM(J17:AM17)</f>
        <v>0.5654145387405274</v>
      </c>
      <c r="F17" s="59">
        <f>IF(ISERROR($C$8*C17/$D$47),0,$C$8*C17/$D$47)</f>
        <v>3.3333333333333335</v>
      </c>
      <c r="G17" s="58">
        <f>F17</f>
        <v>3.3333333333333335</v>
      </c>
      <c r="H17" s="58">
        <f>I17</f>
        <v>0.018847151291350915</v>
      </c>
      <c r="I17" s="60">
        <f>(SUM($F$17:F17))*(((1+$C$5)^(1/12))-1)</f>
        <v>0.018847151291350915</v>
      </c>
      <c r="J17" s="61">
        <f>+IF(ISERROR((POWER(POWER(1+$C$5,1/12),1)-1)*C17),0,((POWER(POWER(1+$C$5,1/12),1)-1)*C17))</f>
        <v>0.5654145387405274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N17" s="11"/>
      <c r="AO17" s="55"/>
      <c r="AP17" s="55"/>
      <c r="AQ17" s="55"/>
      <c r="AS17" s="89"/>
      <c r="AT17" s="93"/>
      <c r="AU17" s="93"/>
      <c r="AV17" s="93"/>
      <c r="AW17" s="89"/>
    </row>
    <row r="18" spans="2:49" ht="13.5">
      <c r="B18" s="63">
        <f>+B17+1</f>
        <v>2</v>
      </c>
      <c r="C18" s="64">
        <v>100</v>
      </c>
      <c r="D18" s="65">
        <f>+SUM($C$17:C18)</f>
        <v>200</v>
      </c>
      <c r="E18" s="65">
        <f aca="true" t="shared" si="0" ref="E18:E46">+SUM(J18:AM18)</f>
        <v>1.6994405522277711</v>
      </c>
      <c r="F18" s="59">
        <f>IF(ISERROR($C$8*C18/$D$47),0,$C$8*C18/$D$47)</f>
        <v>3.3333333333333335</v>
      </c>
      <c r="G18" s="65">
        <f aca="true" t="shared" si="1" ref="G18:G23">F18+G17</f>
        <v>6.666666666666667</v>
      </c>
      <c r="H18" s="65">
        <f>I18+H17</f>
        <v>0.05664801840759246</v>
      </c>
      <c r="I18" s="60">
        <f>(SUM($F$17:F18)+H17)*(((1+$C$5)^(1/12))-1)</f>
        <v>0.037800867116241546</v>
      </c>
      <c r="J18" s="61">
        <f aca="true" t="shared" si="2" ref="J18:J46">+IF(ISERROR((POWER(POWER(1+$C$5,1/12),1)-1)*C18),0,((POWER(POWER(1+$C$5,1/12),1)-1)*C18))</f>
        <v>0.5654145387405274</v>
      </c>
      <c r="K18" s="61">
        <f>+IF(ISERROR((POWER(POWER(1+$C$5,1/12),B18)-1)*$C$17),0,((POWER(POWER(1+$C$5,1/12),B18)-1)*$C$17))</f>
        <v>1.1340260134872437</v>
      </c>
      <c r="L18" s="62"/>
      <c r="M18" s="62"/>
      <c r="N18" s="62" t="s">
        <v>74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N18" s="11"/>
      <c r="AO18" s="55"/>
      <c r="AP18" s="55"/>
      <c r="AQ18" s="55"/>
      <c r="AS18" s="89"/>
      <c r="AT18" s="93"/>
      <c r="AU18" s="93"/>
      <c r="AV18" s="93"/>
      <c r="AW18" s="89"/>
    </row>
    <row r="19" spans="2:49" ht="13.5">
      <c r="B19" s="63">
        <f aca="true" t="shared" si="3" ref="B19:B39">+B18+1</f>
        <v>3</v>
      </c>
      <c r="C19" s="64">
        <v>100</v>
      </c>
      <c r="D19" s="65">
        <f>+SUM($C$17:C19)</f>
        <v>300</v>
      </c>
      <c r="E19" s="65">
        <f t="shared" si="0"/>
        <v>3.4052930524089087</v>
      </c>
      <c r="F19" s="59">
        <f aca="true" t="shared" si="4" ref="F19:F46">IF(ISERROR($C$8*C19/$D$47),0,$C$8*C19/$D$47)</f>
        <v>3.3333333333333335</v>
      </c>
      <c r="G19" s="65">
        <f t="shared" si="1"/>
        <v>10</v>
      </c>
      <c r="H19" s="65">
        <f aca="true" t="shared" si="5" ref="H19:H52">I19+H18</f>
        <v>0.11350976841363014</v>
      </c>
      <c r="I19" s="60">
        <f>(SUM($F$17:F19)+H18)*(((1+$C$5)^(1/12))-1)</f>
        <v>0.05686175000603768</v>
      </c>
      <c r="J19" s="61">
        <f t="shared" si="2"/>
        <v>0.5654145387405274</v>
      </c>
      <c r="K19" s="61">
        <f aca="true" t="shared" si="6" ref="K19:K46">+IF(ISERROR((POWER(POWER(1+$C$5,1/12),B19)-1)*$C$17),0,((POWER(POWER(1+$C$5,1/12),B19)-1)*$C$17))</f>
        <v>1.7058525001811375</v>
      </c>
      <c r="L19" s="61">
        <f>+IF(ISERROR((POWER(POWER(1+$C$5,1/12),B18)-1)*$C$18),0,((POWER(POWER(1+$C$5,1/12),B18)-1)*$C$18))</f>
        <v>1.1340260134872437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N19" s="11"/>
      <c r="AO19" s="55"/>
      <c r="AP19" s="55"/>
      <c r="AQ19" s="55"/>
      <c r="AS19" s="89"/>
      <c r="AT19" s="93"/>
      <c r="AU19" s="93"/>
      <c r="AV19" s="93"/>
      <c r="AW19" s="89"/>
    </row>
    <row r="20" spans="2:49" ht="13.5">
      <c r="B20" s="63">
        <f t="shared" si="3"/>
        <v>4</v>
      </c>
      <c r="C20" s="64">
        <v>100</v>
      </c>
      <c r="D20" s="65">
        <f>+SUM($C$17:C20)</f>
        <v>400</v>
      </c>
      <c r="E20" s="65">
        <f t="shared" si="0"/>
        <v>5.686205229376062</v>
      </c>
      <c r="F20" s="59">
        <f t="shared" si="4"/>
        <v>3.3333333333333335</v>
      </c>
      <c r="G20" s="65">
        <f t="shared" si="1"/>
        <v>13.333333333333334</v>
      </c>
      <c r="H20" s="65">
        <f t="shared" si="5"/>
        <v>0.18954017431253517</v>
      </c>
      <c r="I20" s="60">
        <f>(SUM($F$17:F20)+H19)*(((1+$C$5)^(1/12))-1)</f>
        <v>0.07603040589890503</v>
      </c>
      <c r="J20" s="61">
        <f t="shared" si="2"/>
        <v>0.5654145387405274</v>
      </c>
      <c r="K20" s="61">
        <f t="shared" si="6"/>
        <v>2.2809121769671536</v>
      </c>
      <c r="L20" s="61">
        <f aca="true" t="shared" si="7" ref="L20:L46">+IF(ISERROR((POWER(POWER(1+$C$5,1/12),B19)-1)*$C$18),0,((POWER(POWER(1+$C$5,1/12),B19)-1)*$C$18))</f>
        <v>1.7058525001811375</v>
      </c>
      <c r="M20" s="61">
        <f>+IF(ISERROR((POWER(POWER(1+$C$5,1/12),$B20-2)-1)*$C$19),0,((POWER(POWER(1+$C$5,1/12),$B20-2)-1)*$C$19))</f>
        <v>1.1340260134872437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N20" s="11"/>
      <c r="AO20" s="55"/>
      <c r="AP20" s="55"/>
      <c r="AQ20" s="55"/>
      <c r="AS20" s="89"/>
      <c r="AT20" s="93"/>
      <c r="AU20" s="93"/>
      <c r="AV20" s="93"/>
      <c r="AW20" s="89"/>
    </row>
    <row r="21" spans="2:49" ht="13.5">
      <c r="B21" s="63">
        <f t="shared" si="3"/>
        <v>5</v>
      </c>
      <c r="C21" s="64">
        <v>100</v>
      </c>
      <c r="D21" s="65">
        <f>+SUM($C$17:C21)</f>
        <v>500</v>
      </c>
      <c r="E21" s="65">
        <f t="shared" si="0"/>
        <v>8.545428554148216</v>
      </c>
      <c r="F21" s="59">
        <f t="shared" si="4"/>
        <v>3.3333333333333335</v>
      </c>
      <c r="G21" s="65">
        <f t="shared" si="1"/>
        <v>16.666666666666668</v>
      </c>
      <c r="H21" s="65">
        <f t="shared" si="5"/>
        <v>0.28484761847160694</v>
      </c>
      <c r="I21" s="60">
        <f>(SUM($F$17:F21)+H20)*(((1+$C$5)^(1/12))-1)</f>
        <v>0.09530744415907179</v>
      </c>
      <c r="J21" s="61">
        <f t="shared" si="2"/>
        <v>0.5654145387405274</v>
      </c>
      <c r="K21" s="61">
        <f t="shared" si="6"/>
        <v>2.8592233247721532</v>
      </c>
      <c r="L21" s="61">
        <f t="shared" si="7"/>
        <v>2.2809121769671536</v>
      </c>
      <c r="M21" s="61">
        <f aca="true" t="shared" si="8" ref="M21:M46">+IF(ISERROR((POWER(POWER(1+$C$5,1/12),$B21-2)-1)*$C$19),0,((POWER(POWER(1+$C$5,1/12),$B21-2)-1)*$C$19))</f>
        <v>1.7058525001811375</v>
      </c>
      <c r="N21" s="61">
        <f>+IF(ISERROR((POWER(POWER(1+$C$5,1/12),$B21-3)-1)*$C$20),0,((POWER(POWER(1+$C$5,1/12),$B21-3)-1)*$C$20))</f>
        <v>1.1340260134872437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N21" s="11"/>
      <c r="AO21" s="55"/>
      <c r="AP21" s="55"/>
      <c r="AQ21" s="55"/>
      <c r="AS21" s="89"/>
      <c r="AT21" s="93"/>
      <c r="AU21" s="93"/>
      <c r="AV21" s="93"/>
      <c r="AW21" s="89"/>
    </row>
    <row r="22" spans="2:49" ht="13.5">
      <c r="B22" s="63">
        <f t="shared" si="3"/>
        <v>6</v>
      </c>
      <c r="C22" s="64">
        <v>100</v>
      </c>
      <c r="D22" s="65">
        <f>+SUM($C$17:C22)</f>
        <v>600</v>
      </c>
      <c r="E22" s="65">
        <f t="shared" si="0"/>
        <v>11.98623288203422</v>
      </c>
      <c r="F22" s="59">
        <f t="shared" si="4"/>
        <v>3.3333333333333335</v>
      </c>
      <c r="G22" s="65">
        <f t="shared" si="1"/>
        <v>20</v>
      </c>
      <c r="H22" s="65">
        <f t="shared" si="5"/>
        <v>0.399541096067807</v>
      </c>
      <c r="I22" s="60">
        <f>(SUM($F$17:F22)+H21)*(((1+$C$5)^(1/12))-1)</f>
        <v>0.11469347759620008</v>
      </c>
      <c r="J22" s="61">
        <f t="shared" si="2"/>
        <v>0.5654145387405274</v>
      </c>
      <c r="K22" s="61">
        <f t="shared" si="6"/>
        <v>3.4408043278860045</v>
      </c>
      <c r="L22" s="61">
        <f t="shared" si="7"/>
        <v>2.8592233247721532</v>
      </c>
      <c r="M22" s="61">
        <f t="shared" si="8"/>
        <v>2.2809121769671536</v>
      </c>
      <c r="N22" s="61">
        <f aca="true" t="shared" si="9" ref="N22:N46">+IF(ISERROR((POWER(POWER(1+$C$5,1/12),$B22-3)-1)*$C$20),0,((POWER(POWER(1+$C$5,1/12),$B22-3)-1)*$C$20))</f>
        <v>1.7058525001811375</v>
      </c>
      <c r="O22" s="61">
        <f>+IF(ISERROR((POWER(POWER(1+$C$5,1/12),$B22-4)-1)*$C$21),0,((POWER(POWER(1+$C$5,1/12),$B22-4)-1)*$C$21))</f>
        <v>1.1340260134872437</v>
      </c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N22" s="11"/>
      <c r="AO22" s="55"/>
      <c r="AP22" s="55"/>
      <c r="AQ22" s="55"/>
      <c r="AS22" s="89"/>
      <c r="AT22" s="93"/>
      <c r="AU22" s="93"/>
      <c r="AV22" s="93"/>
      <c r="AW22" s="89"/>
    </row>
    <row r="23" spans="2:49" ht="13.5">
      <c r="B23" s="63">
        <f t="shared" si="3"/>
        <v>7</v>
      </c>
      <c r="C23" s="64">
        <v>100</v>
      </c>
      <c r="D23" s="65">
        <f>+SUM($C$17:C23)</f>
        <v>700</v>
      </c>
      <c r="E23" s="65">
        <f t="shared" si="0"/>
        <v>16.01190655658022</v>
      </c>
      <c r="F23" s="59">
        <f t="shared" si="4"/>
        <v>3.3333333333333335</v>
      </c>
      <c r="G23" s="65">
        <f t="shared" si="1"/>
        <v>23.333333333333332</v>
      </c>
      <c r="H23" s="65">
        <f t="shared" si="5"/>
        <v>0.533730218552674</v>
      </c>
      <c r="I23" s="60">
        <f>(SUM($F$17:F23)+H22)*(((1+$C$5)^(1/12))-1)</f>
        <v>0.13418912248486703</v>
      </c>
      <c r="J23" s="61">
        <f t="shared" si="2"/>
        <v>0.5654145387405274</v>
      </c>
      <c r="K23" s="61">
        <f t="shared" si="6"/>
        <v>4.025673674546004</v>
      </c>
      <c r="L23" s="61">
        <f t="shared" si="7"/>
        <v>3.4408043278860045</v>
      </c>
      <c r="M23" s="61">
        <f t="shared" si="8"/>
        <v>2.8592233247721532</v>
      </c>
      <c r="N23" s="61">
        <f t="shared" si="9"/>
        <v>2.2809121769671536</v>
      </c>
      <c r="O23" s="61">
        <f aca="true" t="shared" si="10" ref="O23:O46">+IF(ISERROR((POWER(POWER(1+$C$5,1/12),$B23-4)-1)*$C$21),0,((POWER(POWER(1+$C$5,1/12),$B23-4)-1)*$C$21))</f>
        <v>1.7058525001811375</v>
      </c>
      <c r="P23" s="61">
        <f>+IF(ISERROR((POWER(POWER(1+$C$5,1/12),$B23-5)-1)*$C$22),0,((POWER(POWER(1+$C$5,1/12),$B23-5)-1)*$C$22))</f>
        <v>1.1340260134872437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N23" s="11"/>
      <c r="AO23" s="55"/>
      <c r="AP23" s="55"/>
      <c r="AQ23" s="55"/>
      <c r="AS23" s="89"/>
      <c r="AT23" s="93"/>
      <c r="AU23" s="93"/>
      <c r="AV23" s="93"/>
      <c r="AW23" s="89"/>
    </row>
    <row r="24" spans="2:49" ht="13.5">
      <c r="B24" s="63">
        <f t="shared" si="3"/>
        <v>8</v>
      </c>
      <c r="C24" s="64">
        <v>100</v>
      </c>
      <c r="D24" s="65">
        <f>+SUM($C$17:C24)</f>
        <v>800</v>
      </c>
      <c r="E24" s="65">
        <f t="shared" si="0"/>
        <v>20.625756514104896</v>
      </c>
      <c r="F24" s="59">
        <f t="shared" si="4"/>
        <v>3.3333333333333335</v>
      </c>
      <c r="G24" s="65">
        <f aca="true" t="shared" si="11" ref="G24:G44">F24+G23</f>
        <v>26.666666666666664</v>
      </c>
      <c r="H24" s="65">
        <f t="shared" si="5"/>
        <v>0.6875252171368297</v>
      </c>
      <c r="I24" s="60">
        <f>(SUM($F$17:F24)+H23)*(((1+$C$5)^(1/12))-1)</f>
        <v>0.15379499858415568</v>
      </c>
      <c r="J24" s="61">
        <f t="shared" si="2"/>
        <v>0.5654145387405274</v>
      </c>
      <c r="K24" s="61">
        <f t="shared" si="6"/>
        <v>4.613849957524674</v>
      </c>
      <c r="L24" s="61">
        <f t="shared" si="7"/>
        <v>4.025673674546004</v>
      </c>
      <c r="M24" s="61">
        <f t="shared" si="8"/>
        <v>3.4408043278860045</v>
      </c>
      <c r="N24" s="61">
        <f t="shared" si="9"/>
        <v>2.8592233247721532</v>
      </c>
      <c r="O24" s="61">
        <f t="shared" si="10"/>
        <v>2.2809121769671536</v>
      </c>
      <c r="P24" s="61">
        <f aca="true" t="shared" si="12" ref="P24:P46">+IF(ISERROR((POWER(POWER(1+$C$5,1/12),$B24-5)-1)*$C$22),0,((POWER(POWER(1+$C$5,1/12),$B24-5)-1)*$C$22))</f>
        <v>1.7058525001811375</v>
      </c>
      <c r="Q24" s="61">
        <f>+IF(ISERROR((POWER(POWER(1+$C$5,1/12),$B24-6)-1)*$C$23),0,((POWER(POWER(1+$C$5,1/12),$B24-6)-1)*$C$23))</f>
        <v>1.1340260134872437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N24" s="11"/>
      <c r="AO24" s="55"/>
      <c r="AP24" s="55"/>
      <c r="AQ24" s="55"/>
      <c r="AS24" s="89"/>
      <c r="AT24" s="93"/>
      <c r="AU24" s="93"/>
      <c r="AV24" s="93"/>
      <c r="AW24" s="89"/>
    </row>
    <row r="25" spans="1:49" s="72" customFormat="1" ht="13.5">
      <c r="A25" s="66"/>
      <c r="B25" s="67">
        <f t="shared" si="3"/>
        <v>9</v>
      </c>
      <c r="C25" s="64">
        <v>100</v>
      </c>
      <c r="D25" s="68">
        <f>+SUM($C$17:C25)</f>
        <v>900</v>
      </c>
      <c r="E25" s="68">
        <f t="shared" si="0"/>
        <v>25.831108388825605</v>
      </c>
      <c r="F25" s="59">
        <f t="shared" si="4"/>
        <v>3.3333333333333335</v>
      </c>
      <c r="G25" s="68">
        <f t="shared" si="11"/>
        <v>29.999999999999996</v>
      </c>
      <c r="H25" s="68">
        <f>I25+H24</f>
        <v>0.8610369462941869</v>
      </c>
      <c r="I25" s="69">
        <f>(SUM($F$17:F25)+H24)*(((1+$C$5)^(1/12))-1)</f>
        <v>0.17351172915735721</v>
      </c>
      <c r="J25" s="61">
        <f t="shared" si="2"/>
        <v>0.5654145387405274</v>
      </c>
      <c r="K25" s="61">
        <f t="shared" si="6"/>
        <v>5.2053518747207095</v>
      </c>
      <c r="L25" s="61">
        <f t="shared" si="7"/>
        <v>4.613849957524674</v>
      </c>
      <c r="M25" s="61">
        <f t="shared" si="8"/>
        <v>4.025673674546004</v>
      </c>
      <c r="N25" s="61">
        <f t="shared" si="9"/>
        <v>3.4408043278860045</v>
      </c>
      <c r="O25" s="61">
        <f t="shared" si="10"/>
        <v>2.8592233247721532</v>
      </c>
      <c r="P25" s="61">
        <f t="shared" si="12"/>
        <v>2.2809121769671536</v>
      </c>
      <c r="Q25" s="61">
        <f aca="true" t="shared" si="13" ref="Q25:Q46">+IF(ISERROR((POWER(POWER(1+$C$5,1/12),$B25-6)-1)*$C$23),0,((POWER(POWER(1+$C$5,1/12),$B25-6)-1)*$C$23))</f>
        <v>1.7058525001811375</v>
      </c>
      <c r="R25" s="70">
        <f>+IF(ISERROR((POWER(POWER(1+$C$5,1/12),$B25-7)-1)*$C$24),0,((POWER(POWER(1+$C$5,1/12),$B25-7)-1)*$C$24))</f>
        <v>1.1340260134872437</v>
      </c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N25" s="66"/>
      <c r="AO25" s="55"/>
      <c r="AP25" s="55"/>
      <c r="AQ25" s="55"/>
      <c r="AS25" s="94"/>
      <c r="AT25" s="93"/>
      <c r="AU25" s="93"/>
      <c r="AV25" s="93"/>
      <c r="AW25" s="94"/>
    </row>
    <row r="26" spans="2:49" ht="13.5">
      <c r="B26" s="63">
        <f t="shared" si="3"/>
        <v>10</v>
      </c>
      <c r="C26" s="64">
        <v>100</v>
      </c>
      <c r="D26" s="65">
        <f>+SUM($C$17:C26)</f>
        <v>1000</v>
      </c>
      <c r="E26" s="65">
        <f t="shared" si="0"/>
        <v>31.631306618579135</v>
      </c>
      <c r="F26" s="59">
        <f t="shared" si="4"/>
        <v>3.3333333333333335</v>
      </c>
      <c r="G26" s="65">
        <f t="shared" si="11"/>
        <v>33.33333333333333</v>
      </c>
      <c r="H26" s="65">
        <f t="shared" si="5"/>
        <v>1.054376887285971</v>
      </c>
      <c r="I26" s="60">
        <f>(SUM($F$17:F26)+H25)*(((1+$C$5)^(1/12))-1)</f>
        <v>0.1933399409917839</v>
      </c>
      <c r="J26" s="61">
        <f t="shared" si="2"/>
        <v>0.5654145387405274</v>
      </c>
      <c r="K26" s="61">
        <f t="shared" si="6"/>
        <v>5.800198229753528</v>
      </c>
      <c r="L26" s="61">
        <f t="shared" si="7"/>
        <v>5.2053518747207095</v>
      </c>
      <c r="M26" s="61">
        <f t="shared" si="8"/>
        <v>4.613849957524674</v>
      </c>
      <c r="N26" s="61">
        <f t="shared" si="9"/>
        <v>4.025673674546004</v>
      </c>
      <c r="O26" s="61">
        <f t="shared" si="10"/>
        <v>3.4408043278860045</v>
      </c>
      <c r="P26" s="61">
        <f t="shared" si="12"/>
        <v>2.8592233247721532</v>
      </c>
      <c r="Q26" s="61">
        <f t="shared" si="13"/>
        <v>2.2809121769671536</v>
      </c>
      <c r="R26" s="70">
        <f aca="true" t="shared" si="14" ref="R26:R46">+IF(ISERROR((POWER(POWER(1+$C$5,1/12),$B26-7)-1)*$C$24),0,((POWER(POWER(1+$C$5,1/12),$B26-7)-1)*$C$24))</f>
        <v>1.7058525001811375</v>
      </c>
      <c r="S26" s="61">
        <f>+IF(ISERROR((POWER(POWER(1+$C$5,1/12),$B26-8)-1)*$C$25),0,((POWER(POWER(1+$C$5,1/12),$B26-8)-1)*$C$25))</f>
        <v>1.1340260134872437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N26" s="11"/>
      <c r="AO26" s="55"/>
      <c r="AP26" s="55"/>
      <c r="AQ26" s="55"/>
      <c r="AS26" s="89"/>
      <c r="AT26" s="93"/>
      <c r="AU26" s="93"/>
      <c r="AV26" s="93"/>
      <c r="AW26" s="89"/>
    </row>
    <row r="27" spans="2:49" ht="13.5">
      <c r="B27" s="63">
        <f t="shared" si="3"/>
        <v>11</v>
      </c>
      <c r="C27" s="64">
        <v>100</v>
      </c>
      <c r="D27" s="65">
        <f>+SUM($C$17:C27)</f>
        <v>1100</v>
      </c>
      <c r="E27" s="65">
        <f t="shared" si="0"/>
        <v>38.029714551139975</v>
      </c>
      <c r="F27" s="59">
        <f t="shared" si="4"/>
        <v>3.3333333333333335</v>
      </c>
      <c r="G27" s="65">
        <f>F27+G26</f>
        <v>36.666666666666664</v>
      </c>
      <c r="H27" s="65">
        <f>I27+H26</f>
        <v>1.2676571517046655</v>
      </c>
      <c r="I27" s="60">
        <f>(SUM($F$17:F27)+H26)*(((1+$C$5)^(1/12))-1)</f>
        <v>0.21328026441869471</v>
      </c>
      <c r="J27" s="61">
        <f t="shared" si="2"/>
        <v>0.5654145387405274</v>
      </c>
      <c r="K27" s="61">
        <f t="shared" si="6"/>
        <v>6.3984079325608345</v>
      </c>
      <c r="L27" s="61">
        <f t="shared" si="7"/>
        <v>5.800198229753528</v>
      </c>
      <c r="M27" s="61">
        <f t="shared" si="8"/>
        <v>5.2053518747207095</v>
      </c>
      <c r="N27" s="61">
        <f t="shared" si="9"/>
        <v>4.613849957524674</v>
      </c>
      <c r="O27" s="61">
        <f t="shared" si="10"/>
        <v>4.025673674546004</v>
      </c>
      <c r="P27" s="61">
        <f t="shared" si="12"/>
        <v>3.4408043278860045</v>
      </c>
      <c r="Q27" s="61">
        <f t="shared" si="13"/>
        <v>2.8592233247721532</v>
      </c>
      <c r="R27" s="70">
        <f t="shared" si="14"/>
        <v>2.2809121769671536</v>
      </c>
      <c r="S27" s="61">
        <f aca="true" t="shared" si="15" ref="S27:S46">+IF(ISERROR((POWER(POWER(1+$C$5,1/12),$B27-8)-1)*$C$25),0,((POWER(POWER(1+$C$5,1/12),$B27-8)-1)*$C$25))</f>
        <v>1.7058525001811375</v>
      </c>
      <c r="T27" s="61">
        <f>+IF(ISERROR((POWER(POWER(1+$C$5,1/12),$B27-9)-1)*$C$26),0,((POWER(POWER(1+$C$5,1/12),$B27-9)-1)*$C$26))</f>
        <v>1.1340260134872437</v>
      </c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N27" s="11"/>
      <c r="AO27" s="55"/>
      <c r="AP27" s="55"/>
      <c r="AQ27" s="55"/>
      <c r="AS27" s="89"/>
      <c r="AT27" s="93"/>
      <c r="AU27" s="93"/>
      <c r="AV27" s="93"/>
      <c r="AW27" s="89"/>
    </row>
    <row r="28" spans="2:49" ht="13.5">
      <c r="B28" s="63">
        <f t="shared" si="3"/>
        <v>12</v>
      </c>
      <c r="C28" s="64">
        <v>100</v>
      </c>
      <c r="D28" s="65">
        <f>+SUM($C$17:C28)</f>
        <v>1200</v>
      </c>
      <c r="E28" s="65">
        <f t="shared" si="0"/>
        <v>45.02971455113998</v>
      </c>
      <c r="F28" s="59">
        <f t="shared" si="4"/>
        <v>3.3333333333333335</v>
      </c>
      <c r="G28" s="65">
        <f>F28+G27</f>
        <v>40</v>
      </c>
      <c r="H28" s="65">
        <f t="shared" si="5"/>
        <v>1.5009904850379987</v>
      </c>
      <c r="I28" s="60">
        <f>(SUM($F$17:F28)+H27)*(((1+$C$5)^(1/12))-1)</f>
        <v>0.2333333333333332</v>
      </c>
      <c r="J28" s="61">
        <f t="shared" si="2"/>
        <v>0.5654145387405274</v>
      </c>
      <c r="K28" s="61">
        <f t="shared" si="6"/>
        <v>7.000000000000006</v>
      </c>
      <c r="L28" s="61">
        <f t="shared" si="7"/>
        <v>6.3984079325608345</v>
      </c>
      <c r="M28" s="61">
        <f t="shared" si="8"/>
        <v>5.800198229753528</v>
      </c>
      <c r="N28" s="61">
        <f t="shared" si="9"/>
        <v>5.2053518747207095</v>
      </c>
      <c r="O28" s="61">
        <f t="shared" si="10"/>
        <v>4.613849957524674</v>
      </c>
      <c r="P28" s="61">
        <f t="shared" si="12"/>
        <v>4.025673674546004</v>
      </c>
      <c r="Q28" s="61">
        <f t="shared" si="13"/>
        <v>3.4408043278860045</v>
      </c>
      <c r="R28" s="70">
        <f t="shared" si="14"/>
        <v>2.8592233247721532</v>
      </c>
      <c r="S28" s="61">
        <f t="shared" si="15"/>
        <v>2.2809121769671536</v>
      </c>
      <c r="T28" s="61">
        <f aca="true" t="shared" si="16" ref="T28:T46">+IF(ISERROR((POWER(POWER(1+$C$5,1/12),$B28-9)-1)*$C$26),0,((POWER(POWER(1+$C$5,1/12),$B28-9)-1)*$C$26))</f>
        <v>1.7058525001811375</v>
      </c>
      <c r="U28" s="61">
        <f>+IF(ISERROR((POWER(POWER(1+$C$5,1/12),$B28-10)-1)*$C$27),0,((POWER(POWER(1+$C$5,1/12),$B28-10)-1)*$C$27))</f>
        <v>1.1340260134872437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N28" s="11"/>
      <c r="AO28" s="55"/>
      <c r="AP28" s="55"/>
      <c r="AQ28" s="55"/>
      <c r="AS28" s="89"/>
      <c r="AT28" s="93"/>
      <c r="AU28" s="93"/>
      <c r="AV28" s="93"/>
      <c r="AW28" s="89"/>
    </row>
    <row r="29" spans="2:49" ht="13.5">
      <c r="B29" s="63">
        <f t="shared" si="3"/>
        <v>13</v>
      </c>
      <c r="C29" s="64">
        <v>100</v>
      </c>
      <c r="D29" s="65">
        <f>+SUM($C$17:C29)</f>
        <v>1300</v>
      </c>
      <c r="E29" s="65">
        <f t="shared" si="0"/>
        <v>52.634708107592346</v>
      </c>
      <c r="F29" s="59">
        <f t="shared" si="4"/>
        <v>3.3333333333333335</v>
      </c>
      <c r="G29" s="65">
        <f>F29+G28</f>
        <v>43.333333333333336</v>
      </c>
      <c r="H29" s="65">
        <f t="shared" si="5"/>
        <v>1.7544902702530774</v>
      </c>
      <c r="I29" s="60">
        <f>(SUM($F$17:F29)+H28)*(((1+$C$5)^(1/12))-1)</f>
        <v>0.25349978521507865</v>
      </c>
      <c r="J29" s="61">
        <f t="shared" si="2"/>
        <v>0.5654145387405274</v>
      </c>
      <c r="K29" s="61">
        <f t="shared" si="6"/>
        <v>7.604993556452366</v>
      </c>
      <c r="L29" s="61">
        <f t="shared" si="7"/>
        <v>7.000000000000006</v>
      </c>
      <c r="M29" s="61">
        <f t="shared" si="8"/>
        <v>6.3984079325608345</v>
      </c>
      <c r="N29" s="61">
        <f t="shared" si="9"/>
        <v>5.800198229753528</v>
      </c>
      <c r="O29" s="61">
        <f t="shared" si="10"/>
        <v>5.2053518747207095</v>
      </c>
      <c r="P29" s="61">
        <f t="shared" si="12"/>
        <v>4.613849957524674</v>
      </c>
      <c r="Q29" s="61">
        <f t="shared" si="13"/>
        <v>4.025673674546004</v>
      </c>
      <c r="R29" s="70">
        <f t="shared" si="14"/>
        <v>3.4408043278860045</v>
      </c>
      <c r="S29" s="61">
        <f t="shared" si="15"/>
        <v>2.8592233247721532</v>
      </c>
      <c r="T29" s="61">
        <f t="shared" si="16"/>
        <v>2.2809121769671536</v>
      </c>
      <c r="U29" s="61">
        <f aca="true" t="shared" si="17" ref="U29:U46">+IF(ISERROR((POWER(POWER(1+$C$5,1/12),$B29-10)-1)*$C$27),0,((POWER(POWER(1+$C$5,1/12),$B29-10)-1)*$C$27))</f>
        <v>1.7058525001811375</v>
      </c>
      <c r="V29" s="61">
        <f>+IF(ISERROR((POWER(POWER(1+$C$5,1/12),$B29-11)-1)*$C$28),0,((POWER(POWER(1+$C$5,1/12),$B29-11)-1)*$C$28))</f>
        <v>1.1340260134872437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N29" s="11"/>
      <c r="AO29" s="55"/>
      <c r="AP29" s="55"/>
      <c r="AQ29" s="55"/>
      <c r="AS29" s="89"/>
      <c r="AT29" s="93"/>
      <c r="AU29" s="93"/>
      <c r="AV29" s="93"/>
      <c r="AW29" s="89"/>
    </row>
    <row r="30" spans="2:49" ht="13.5">
      <c r="B30" s="63">
        <f t="shared" si="3"/>
        <v>14</v>
      </c>
      <c r="C30" s="64">
        <v>100</v>
      </c>
      <c r="D30" s="65">
        <f>+SUM($C$17:C30)</f>
        <v>1400</v>
      </c>
      <c r="E30" s="65">
        <f t="shared" si="0"/>
        <v>60.84811594202369</v>
      </c>
      <c r="F30" s="59">
        <f t="shared" si="4"/>
        <v>3.3333333333333335</v>
      </c>
      <c r="G30" s="65">
        <f>F30+G29</f>
        <v>46.66666666666667</v>
      </c>
      <c r="H30" s="65">
        <f t="shared" si="5"/>
        <v>2.028270531400789</v>
      </c>
      <c r="I30" s="60">
        <f>(SUM($F$17:F30)+H29)*(((1+$C$5)^(1/12))-1)</f>
        <v>0.2737802611477117</v>
      </c>
      <c r="J30" s="61">
        <f t="shared" si="2"/>
        <v>0.5654145387405274</v>
      </c>
      <c r="K30" s="61">
        <f t="shared" si="6"/>
        <v>8.21340783443134</v>
      </c>
      <c r="L30" s="61">
        <f t="shared" si="7"/>
        <v>7.604993556452366</v>
      </c>
      <c r="M30" s="61">
        <f t="shared" si="8"/>
        <v>7.000000000000006</v>
      </c>
      <c r="N30" s="61">
        <f t="shared" si="9"/>
        <v>6.3984079325608345</v>
      </c>
      <c r="O30" s="61">
        <f t="shared" si="10"/>
        <v>5.800198229753528</v>
      </c>
      <c r="P30" s="61">
        <f t="shared" si="12"/>
        <v>5.2053518747207095</v>
      </c>
      <c r="Q30" s="61">
        <f t="shared" si="13"/>
        <v>4.613849957524674</v>
      </c>
      <c r="R30" s="70">
        <f t="shared" si="14"/>
        <v>4.025673674546004</v>
      </c>
      <c r="S30" s="61">
        <f t="shared" si="15"/>
        <v>3.4408043278860045</v>
      </c>
      <c r="T30" s="61">
        <f t="shared" si="16"/>
        <v>2.8592233247721532</v>
      </c>
      <c r="U30" s="61">
        <f t="shared" si="17"/>
        <v>2.2809121769671536</v>
      </c>
      <c r="V30" s="61">
        <f aca="true" t="shared" si="18" ref="V30:V46">+IF(ISERROR((POWER(POWER(1+$C$5,1/12),$B30-11)-1)*$C$28),0,((POWER(POWER(1+$C$5,1/12),$B30-11)-1)*$C$28))</f>
        <v>1.7058525001811375</v>
      </c>
      <c r="W30" s="61">
        <f>+IF(ISERROR((POWER(POWER(1+$C$5,1/12),$B30-12)-1)*$C$29),0,((POWER(POWER(1+$C$5,1/12),$B30-12)-1)*$C$29))</f>
        <v>1.1340260134872437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N30" s="11"/>
      <c r="AO30" s="55"/>
      <c r="AP30" s="55"/>
      <c r="AQ30" s="55"/>
      <c r="AS30" s="89"/>
      <c r="AT30" s="93"/>
      <c r="AU30" s="93"/>
      <c r="AV30" s="93"/>
      <c r="AW30" s="89"/>
    </row>
    <row r="31" spans="2:49" ht="13.5">
      <c r="B31" s="63">
        <f t="shared" si="3"/>
        <v>15</v>
      </c>
      <c r="C31" s="64">
        <v>100</v>
      </c>
      <c r="D31" s="65">
        <f>+SUM($C$17:C31)</f>
        <v>1500</v>
      </c>
      <c r="E31" s="65">
        <f t="shared" si="0"/>
        <v>69.6733781172175</v>
      </c>
      <c r="F31" s="59">
        <f t="shared" si="4"/>
        <v>3.3333333333333335</v>
      </c>
      <c r="G31" s="65">
        <f t="shared" si="11"/>
        <v>50.00000000000001</v>
      </c>
      <c r="H31" s="65">
        <f t="shared" si="5"/>
        <v>2.3224459372405826</v>
      </c>
      <c r="I31" s="60">
        <f>(SUM($F$17:F31)+H30)*(((1+$C$5)^(1/12))-1)</f>
        <v>0.2941754058397935</v>
      </c>
      <c r="J31" s="61">
        <f t="shared" si="2"/>
        <v>0.5654145387405274</v>
      </c>
      <c r="K31" s="61">
        <f t="shared" si="6"/>
        <v>8.825262175193815</v>
      </c>
      <c r="L31" s="61">
        <f t="shared" si="7"/>
        <v>8.21340783443134</v>
      </c>
      <c r="M31" s="61">
        <f t="shared" si="8"/>
        <v>7.604993556452366</v>
      </c>
      <c r="N31" s="61">
        <f t="shared" si="9"/>
        <v>7.000000000000006</v>
      </c>
      <c r="O31" s="61">
        <f t="shared" si="10"/>
        <v>6.3984079325608345</v>
      </c>
      <c r="P31" s="61">
        <f t="shared" si="12"/>
        <v>5.800198229753528</v>
      </c>
      <c r="Q31" s="61">
        <f t="shared" si="13"/>
        <v>5.2053518747207095</v>
      </c>
      <c r="R31" s="70">
        <f t="shared" si="14"/>
        <v>4.613849957524674</v>
      </c>
      <c r="S31" s="61">
        <f t="shared" si="15"/>
        <v>4.025673674546004</v>
      </c>
      <c r="T31" s="61">
        <f t="shared" si="16"/>
        <v>3.4408043278860045</v>
      </c>
      <c r="U31" s="61">
        <f t="shared" si="17"/>
        <v>2.8592233247721532</v>
      </c>
      <c r="V31" s="61">
        <f t="shared" si="18"/>
        <v>2.2809121769671536</v>
      </c>
      <c r="W31" s="61">
        <f aca="true" t="shared" si="19" ref="W31:W46">+IF(ISERROR((POWER(POWER(1+$C$5,1/12),$B31-12)-1)*$C$29),0,((POWER(POWER(1+$C$5,1/12),$B31-12)-1)*$C$29))</f>
        <v>1.7058525001811375</v>
      </c>
      <c r="X31" s="61">
        <f>+IF(ISERROR((POWER(POWER(1+$C$5,1/12),$B31-13)-1)*$C$30),0,((POWER(POWER(1+$C$5,1/12),$B31-13)-1)*$C$30))</f>
        <v>1.1340260134872437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N31" s="11"/>
      <c r="AO31" s="55"/>
      <c r="AP31" s="55"/>
      <c r="AQ31" s="55"/>
      <c r="AS31" s="89"/>
      <c r="AT31" s="93"/>
      <c r="AU31" s="93"/>
      <c r="AV31" s="93"/>
      <c r="AW31" s="89"/>
    </row>
    <row r="32" spans="2:49" ht="13.5">
      <c r="B32" s="63">
        <f t="shared" si="3"/>
        <v>16</v>
      </c>
      <c r="C32" s="64">
        <v>100</v>
      </c>
      <c r="D32" s="65">
        <f>+SUM($C$17:C32)</f>
        <v>1600</v>
      </c>
      <c r="E32" s="65">
        <f t="shared" si="0"/>
        <v>79.11395414657234</v>
      </c>
      <c r="F32" s="59">
        <f t="shared" si="4"/>
        <v>3.3333333333333335</v>
      </c>
      <c r="G32" s="65">
        <f t="shared" si="11"/>
        <v>53.33333333333334</v>
      </c>
      <c r="H32" s="65">
        <f t="shared" si="5"/>
        <v>2.637131804885744</v>
      </c>
      <c r="I32" s="60">
        <f>(SUM($F$17:F32)+H31)*(((1+$C$5)^(1/12))-1)</f>
        <v>0.3146858676451616</v>
      </c>
      <c r="J32" s="61">
        <f t="shared" si="2"/>
        <v>0.5654145387405274</v>
      </c>
      <c r="K32" s="61">
        <f t="shared" si="6"/>
        <v>9.44057602935484</v>
      </c>
      <c r="L32" s="61">
        <f t="shared" si="7"/>
        <v>8.825262175193815</v>
      </c>
      <c r="M32" s="61">
        <f t="shared" si="8"/>
        <v>8.21340783443134</v>
      </c>
      <c r="N32" s="61">
        <f t="shared" si="9"/>
        <v>7.604993556452366</v>
      </c>
      <c r="O32" s="61">
        <f t="shared" si="10"/>
        <v>7.000000000000006</v>
      </c>
      <c r="P32" s="61">
        <f t="shared" si="12"/>
        <v>6.3984079325608345</v>
      </c>
      <c r="Q32" s="61">
        <f t="shared" si="13"/>
        <v>5.800198229753528</v>
      </c>
      <c r="R32" s="70">
        <f t="shared" si="14"/>
        <v>5.2053518747207095</v>
      </c>
      <c r="S32" s="61">
        <f t="shared" si="15"/>
        <v>4.613849957524674</v>
      </c>
      <c r="T32" s="61">
        <f t="shared" si="16"/>
        <v>4.025673674546004</v>
      </c>
      <c r="U32" s="61">
        <f t="shared" si="17"/>
        <v>3.4408043278860045</v>
      </c>
      <c r="V32" s="61">
        <f t="shared" si="18"/>
        <v>2.8592233247721532</v>
      </c>
      <c r="W32" s="61">
        <f t="shared" si="19"/>
        <v>2.2809121769671536</v>
      </c>
      <c r="X32" s="61">
        <f aca="true" t="shared" si="20" ref="X32:X46">+IF(ISERROR((POWER(POWER(1+$C$5,1/12),$B32-13)-1)*$C$30),0,((POWER(POWER(1+$C$5,1/12),$B32-13)-1)*$C$30))</f>
        <v>1.7058525001811375</v>
      </c>
      <c r="Y32" s="61">
        <f>+IF(ISERROR((POWER(POWER(1+$C$5,1/12),$B32-14)-1)*$C$31),0,((POWER(POWER(1+$C$5,1/12),$B32-14)-1)*$C$31))</f>
        <v>1.1340260134872437</v>
      </c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N32" s="11"/>
      <c r="AO32" s="11"/>
      <c r="AP32" s="11"/>
      <c r="AQ32" s="11"/>
      <c r="AS32" s="89"/>
      <c r="AT32" s="89"/>
      <c r="AU32" s="89"/>
      <c r="AV32" s="89"/>
      <c r="AW32" s="89"/>
    </row>
    <row r="33" spans="2:49" ht="13.5">
      <c r="B33" s="63">
        <f t="shared" si="3"/>
        <v>17</v>
      </c>
      <c r="C33" s="64">
        <v>100</v>
      </c>
      <c r="D33" s="65">
        <f>+SUM($C$17:C33)</f>
        <v>1700</v>
      </c>
      <c r="E33" s="65">
        <f t="shared" si="0"/>
        <v>89.17332310407853</v>
      </c>
      <c r="F33" s="59">
        <f t="shared" si="4"/>
        <v>3.3333333333333335</v>
      </c>
      <c r="G33" s="65">
        <f t="shared" si="11"/>
        <v>56.66666666666668</v>
      </c>
      <c r="H33" s="65">
        <f t="shared" si="5"/>
        <v>2.972444103469284</v>
      </c>
      <c r="I33" s="60">
        <f>(SUM($F$17:F33)+H32)*(((1+$C$5)^(1/12))-1)</f>
        <v>0.33531229858354006</v>
      </c>
      <c r="J33" s="61">
        <f t="shared" si="2"/>
        <v>0.5654145387405274</v>
      </c>
      <c r="K33" s="61">
        <f t="shared" si="6"/>
        <v>10.059368957506209</v>
      </c>
      <c r="L33" s="61">
        <f t="shared" si="7"/>
        <v>9.44057602935484</v>
      </c>
      <c r="M33" s="61">
        <f t="shared" si="8"/>
        <v>8.825262175193815</v>
      </c>
      <c r="N33" s="61">
        <f t="shared" si="9"/>
        <v>8.21340783443134</v>
      </c>
      <c r="O33" s="61">
        <f t="shared" si="10"/>
        <v>7.604993556452366</v>
      </c>
      <c r="P33" s="61">
        <f t="shared" si="12"/>
        <v>7.000000000000006</v>
      </c>
      <c r="Q33" s="61">
        <f t="shared" si="13"/>
        <v>6.3984079325608345</v>
      </c>
      <c r="R33" s="70">
        <f t="shared" si="14"/>
        <v>5.800198229753528</v>
      </c>
      <c r="S33" s="61">
        <f t="shared" si="15"/>
        <v>5.2053518747207095</v>
      </c>
      <c r="T33" s="61">
        <f t="shared" si="16"/>
        <v>4.613849957524674</v>
      </c>
      <c r="U33" s="61">
        <f t="shared" si="17"/>
        <v>4.025673674546004</v>
      </c>
      <c r="V33" s="61">
        <f t="shared" si="18"/>
        <v>3.4408043278860045</v>
      </c>
      <c r="W33" s="61">
        <f t="shared" si="19"/>
        <v>2.8592233247721532</v>
      </c>
      <c r="X33" s="61">
        <f t="shared" si="20"/>
        <v>2.2809121769671536</v>
      </c>
      <c r="Y33" s="61">
        <f aca="true" t="shared" si="21" ref="Y33:Y46">+IF(ISERROR((POWER(POWER(1+$C$5,1/12),$B33-14)-1)*$C$31),0,((POWER(POWER(1+$C$5,1/12),$B33-14)-1)*$C$31))</f>
        <v>1.7058525001811375</v>
      </c>
      <c r="Z33" s="61">
        <f>+IF(ISERROR((POWER(POWER(1+$C$5,1/12),$B33-15)-1)*$C$32),0,((POWER(POWER(1+$C$5,1/12),$B33-15)-1)*$C$32))</f>
        <v>1.1340260134872437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N33" s="11"/>
      <c r="AO33" s="11"/>
      <c r="AP33" s="11"/>
      <c r="AQ33" s="11"/>
      <c r="AS33" s="89"/>
      <c r="AT33" s="89"/>
      <c r="AU33" s="89"/>
      <c r="AV33" s="89"/>
      <c r="AW33" s="89"/>
    </row>
    <row r="34" spans="2:43" ht="13.5">
      <c r="B34" s="63">
        <f t="shared" si="3"/>
        <v>18</v>
      </c>
      <c r="C34" s="64">
        <v>100</v>
      </c>
      <c r="D34" s="65">
        <f>+SUM($C$17:C34)</f>
        <v>1800</v>
      </c>
      <c r="E34" s="65">
        <f t="shared" si="0"/>
        <v>99.85498373491656</v>
      </c>
      <c r="F34" s="59">
        <f t="shared" si="4"/>
        <v>3.3333333333333335</v>
      </c>
      <c r="G34" s="65">
        <f t="shared" si="11"/>
        <v>60.000000000000014</v>
      </c>
      <c r="H34" s="65">
        <f t="shared" si="5"/>
        <v>3.3284994578305516</v>
      </c>
      <c r="I34" s="60">
        <f>(SUM($F$17:F34)+H33)*(((1+$C$5)^(1/12))-1)</f>
        <v>0.3560553543612674</v>
      </c>
      <c r="J34" s="61">
        <f t="shared" si="2"/>
        <v>0.5654145387405274</v>
      </c>
      <c r="K34" s="61">
        <f t="shared" si="6"/>
        <v>10.681660630838019</v>
      </c>
      <c r="L34" s="61">
        <f t="shared" si="7"/>
        <v>10.059368957506209</v>
      </c>
      <c r="M34" s="61">
        <f t="shared" si="8"/>
        <v>9.44057602935484</v>
      </c>
      <c r="N34" s="61">
        <f t="shared" si="9"/>
        <v>8.825262175193815</v>
      </c>
      <c r="O34" s="61">
        <f t="shared" si="10"/>
        <v>8.21340783443134</v>
      </c>
      <c r="P34" s="61">
        <f t="shared" si="12"/>
        <v>7.604993556452366</v>
      </c>
      <c r="Q34" s="61">
        <f t="shared" si="13"/>
        <v>7.000000000000006</v>
      </c>
      <c r="R34" s="70">
        <f t="shared" si="14"/>
        <v>6.3984079325608345</v>
      </c>
      <c r="S34" s="61">
        <f t="shared" si="15"/>
        <v>5.800198229753528</v>
      </c>
      <c r="T34" s="61">
        <f t="shared" si="16"/>
        <v>5.2053518747207095</v>
      </c>
      <c r="U34" s="61">
        <f t="shared" si="17"/>
        <v>4.613849957524674</v>
      </c>
      <c r="V34" s="61">
        <f t="shared" si="18"/>
        <v>4.025673674546004</v>
      </c>
      <c r="W34" s="61">
        <f t="shared" si="19"/>
        <v>3.4408043278860045</v>
      </c>
      <c r="X34" s="61">
        <f t="shared" si="20"/>
        <v>2.8592233247721532</v>
      </c>
      <c r="Y34" s="61">
        <f t="shared" si="21"/>
        <v>2.2809121769671536</v>
      </c>
      <c r="Z34" s="61">
        <f aca="true" t="shared" si="22" ref="Z34:Z46">+IF(ISERROR((POWER(POWER(1+$C$5,1/12),$B34-15)-1)*$C$32),0,((POWER(POWER(1+$C$5,1/12),$B34-15)-1)*$C$32))</f>
        <v>1.7058525001811375</v>
      </c>
      <c r="AA34" s="61">
        <f>+IF(ISERROR((POWER(POWER(1+$C$5,1/12),$B34-16)-1)*$C$33),0,((POWER(POWER(1+$C$5,1/12),$B34-16)-1)*$C$33))</f>
        <v>1.1340260134872437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N34" s="11"/>
      <c r="AO34" s="11"/>
      <c r="AP34" s="11"/>
      <c r="AQ34" s="11"/>
    </row>
    <row r="35" spans="2:43" ht="13.5">
      <c r="B35" s="63">
        <f t="shared" si="3"/>
        <v>19</v>
      </c>
      <c r="C35" s="64">
        <v>100</v>
      </c>
      <c r="D35" s="65">
        <f>+SUM($C$17:C35)</f>
        <v>1900</v>
      </c>
      <c r="E35" s="65">
        <f t="shared" si="0"/>
        <v>111.16245456668076</v>
      </c>
      <c r="F35" s="59">
        <f t="shared" si="4"/>
        <v>3.3333333333333335</v>
      </c>
      <c r="G35" s="65">
        <f t="shared" si="11"/>
        <v>63.33333333333335</v>
      </c>
      <c r="H35" s="65">
        <f t="shared" si="5"/>
        <v>3.7054151522226926</v>
      </c>
      <c r="I35" s="60">
        <f>(SUM($F$17:F35)+H34)*(((1+$C$5)^(1/12))-1)</f>
        <v>0.376915694392141</v>
      </c>
      <c r="J35" s="61">
        <f t="shared" si="2"/>
        <v>0.5654145387405274</v>
      </c>
      <c r="K35" s="61">
        <f t="shared" si="6"/>
        <v>11.30747083176422</v>
      </c>
      <c r="L35" s="61">
        <f t="shared" si="7"/>
        <v>10.681660630838019</v>
      </c>
      <c r="M35" s="61">
        <f t="shared" si="8"/>
        <v>10.059368957506209</v>
      </c>
      <c r="N35" s="61">
        <f t="shared" si="9"/>
        <v>9.44057602935484</v>
      </c>
      <c r="O35" s="61">
        <f t="shared" si="10"/>
        <v>8.825262175193815</v>
      </c>
      <c r="P35" s="61">
        <f t="shared" si="12"/>
        <v>8.21340783443134</v>
      </c>
      <c r="Q35" s="61">
        <f t="shared" si="13"/>
        <v>7.604993556452366</v>
      </c>
      <c r="R35" s="70">
        <f t="shared" si="14"/>
        <v>7.000000000000006</v>
      </c>
      <c r="S35" s="61">
        <f t="shared" si="15"/>
        <v>6.3984079325608345</v>
      </c>
      <c r="T35" s="61">
        <f t="shared" si="16"/>
        <v>5.800198229753528</v>
      </c>
      <c r="U35" s="61">
        <f t="shared" si="17"/>
        <v>5.2053518747207095</v>
      </c>
      <c r="V35" s="61">
        <f t="shared" si="18"/>
        <v>4.613849957524674</v>
      </c>
      <c r="W35" s="61">
        <f t="shared" si="19"/>
        <v>4.025673674546004</v>
      </c>
      <c r="X35" s="61">
        <f t="shared" si="20"/>
        <v>3.4408043278860045</v>
      </c>
      <c r="Y35" s="61">
        <f t="shared" si="21"/>
        <v>2.8592233247721532</v>
      </c>
      <c r="Z35" s="61">
        <f t="shared" si="22"/>
        <v>2.2809121769671536</v>
      </c>
      <c r="AA35" s="61">
        <f aca="true" t="shared" si="23" ref="AA35:AA46">+IF(ISERROR((POWER(POWER(1+$C$5,1/12),$B35-16)-1)*$C$33),0,((POWER(POWER(1+$C$5,1/12),$B35-16)-1)*$C$33))</f>
        <v>1.7058525001811375</v>
      </c>
      <c r="AB35" s="61">
        <f>+IF(ISERROR((POWER(POWER(1+$C$5,1/12),$B35-17)-1)*$C$34),0,((POWER(POWER(1+$C$5,1/12),$B35-17)-1)*$C$34))</f>
        <v>1.1340260134872437</v>
      </c>
      <c r="AC35" s="62"/>
      <c r="AD35" s="62"/>
      <c r="AE35" s="62"/>
      <c r="AF35" s="62"/>
      <c r="AG35" s="62"/>
      <c r="AH35" s="62"/>
      <c r="AI35" s="62"/>
      <c r="AJ35" s="62"/>
      <c r="AK35" s="62"/>
      <c r="AN35" s="11"/>
      <c r="AO35" s="11"/>
      <c r="AP35" s="11"/>
      <c r="AQ35" s="11"/>
    </row>
    <row r="36" spans="2:43" ht="13.5">
      <c r="B36" s="63">
        <f>+B35+1</f>
        <v>20</v>
      </c>
      <c r="C36" s="64">
        <v>100</v>
      </c>
      <c r="D36" s="65">
        <f>+SUM($C$17:C36)</f>
        <v>2000</v>
      </c>
      <c r="E36" s="65">
        <f t="shared" si="0"/>
        <v>123.09927402123215</v>
      </c>
      <c r="F36" s="59">
        <f t="shared" si="4"/>
        <v>3.3333333333333335</v>
      </c>
      <c r="G36" s="65">
        <f t="shared" si="11"/>
        <v>66.66666666666669</v>
      </c>
      <c r="H36" s="65">
        <f t="shared" si="5"/>
        <v>4.103309134041073</v>
      </c>
      <c r="I36" s="60">
        <f>(SUM($F$17:F36)+H35)*(((1+$C$5)^(1/12))-1)</f>
        <v>0.3978939818183799</v>
      </c>
      <c r="J36" s="61">
        <f t="shared" si="2"/>
        <v>0.5654145387405274</v>
      </c>
      <c r="K36" s="61">
        <f t="shared" si="6"/>
        <v>11.936819454551383</v>
      </c>
      <c r="L36" s="61">
        <f t="shared" si="7"/>
        <v>11.30747083176422</v>
      </c>
      <c r="M36" s="61">
        <f t="shared" si="8"/>
        <v>10.681660630838019</v>
      </c>
      <c r="N36" s="61">
        <f t="shared" si="9"/>
        <v>10.059368957506209</v>
      </c>
      <c r="O36" s="61">
        <f t="shared" si="10"/>
        <v>9.44057602935484</v>
      </c>
      <c r="P36" s="61">
        <f t="shared" si="12"/>
        <v>8.825262175193815</v>
      </c>
      <c r="Q36" s="61">
        <f t="shared" si="13"/>
        <v>8.21340783443134</v>
      </c>
      <c r="R36" s="70">
        <f t="shared" si="14"/>
        <v>7.604993556452366</v>
      </c>
      <c r="S36" s="61">
        <f t="shared" si="15"/>
        <v>7.000000000000006</v>
      </c>
      <c r="T36" s="61">
        <f t="shared" si="16"/>
        <v>6.3984079325608345</v>
      </c>
      <c r="U36" s="61">
        <f t="shared" si="17"/>
        <v>5.800198229753528</v>
      </c>
      <c r="V36" s="61">
        <f t="shared" si="18"/>
        <v>5.2053518747207095</v>
      </c>
      <c r="W36" s="61">
        <f t="shared" si="19"/>
        <v>4.613849957524674</v>
      </c>
      <c r="X36" s="61">
        <f t="shared" si="20"/>
        <v>4.025673674546004</v>
      </c>
      <c r="Y36" s="61">
        <f t="shared" si="21"/>
        <v>3.4408043278860045</v>
      </c>
      <c r="Z36" s="61">
        <f t="shared" si="22"/>
        <v>2.8592233247721532</v>
      </c>
      <c r="AA36" s="61">
        <f t="shared" si="23"/>
        <v>2.2809121769671536</v>
      </c>
      <c r="AB36" s="61">
        <f aca="true" t="shared" si="24" ref="AB36:AB46">+IF(ISERROR((POWER(POWER(1+$C$5,1/12),$B36-17)-1)*$C$34),0,((POWER(POWER(1+$C$5,1/12),$B36-17)-1)*$C$34))</f>
        <v>1.7058525001811375</v>
      </c>
      <c r="AC36" s="61">
        <f>+IF(ISERROR((POWER(POWER(1+$C$5,1/12),$B36-18)-1)*$C$35),0,((POWER(POWER(1+$C$5,1/12),$B36-18)-1)*$C$35))</f>
        <v>1.1340260134872437</v>
      </c>
      <c r="AD36" s="62"/>
      <c r="AE36" s="62"/>
      <c r="AF36" s="62"/>
      <c r="AG36" s="62"/>
      <c r="AH36" s="62"/>
      <c r="AI36" s="62"/>
      <c r="AJ36" s="62"/>
      <c r="AK36" s="62"/>
      <c r="AN36" s="11"/>
      <c r="AO36" s="11"/>
      <c r="AP36" s="11"/>
      <c r="AQ36" s="11"/>
    </row>
    <row r="37" spans="2:43" ht="13.5">
      <c r="B37" s="63">
        <f t="shared" si="3"/>
        <v>21</v>
      </c>
      <c r="C37" s="64">
        <v>100</v>
      </c>
      <c r="D37" s="65">
        <f>+SUM($C$17:C37)</f>
        <v>2100</v>
      </c>
      <c r="E37" s="65">
        <f t="shared" si="0"/>
        <v>135.6690005271833</v>
      </c>
      <c r="F37" s="59">
        <f t="shared" si="4"/>
        <v>3.3333333333333335</v>
      </c>
      <c r="G37" s="65">
        <f t="shared" si="11"/>
        <v>70.00000000000001</v>
      </c>
      <c r="H37" s="65">
        <f t="shared" si="5"/>
        <v>4.522300017572778</v>
      </c>
      <c r="I37" s="60">
        <f>(SUM($F$17:F37)+H36)*(((1+$C$5)^(1/12))-1)</f>
        <v>0.4189908835317055</v>
      </c>
      <c r="J37" s="61">
        <f t="shared" si="2"/>
        <v>0.5654145387405274</v>
      </c>
      <c r="K37" s="61">
        <f t="shared" si="6"/>
        <v>12.569726505951163</v>
      </c>
      <c r="L37" s="61">
        <f t="shared" si="7"/>
        <v>11.936819454551383</v>
      </c>
      <c r="M37" s="61">
        <f t="shared" si="8"/>
        <v>11.30747083176422</v>
      </c>
      <c r="N37" s="61">
        <f t="shared" si="9"/>
        <v>10.681660630838019</v>
      </c>
      <c r="O37" s="61">
        <f t="shared" si="10"/>
        <v>10.059368957506209</v>
      </c>
      <c r="P37" s="61">
        <f t="shared" si="12"/>
        <v>9.44057602935484</v>
      </c>
      <c r="Q37" s="61">
        <f t="shared" si="13"/>
        <v>8.825262175193815</v>
      </c>
      <c r="R37" s="70">
        <f t="shared" si="14"/>
        <v>8.21340783443134</v>
      </c>
      <c r="S37" s="61">
        <f t="shared" si="15"/>
        <v>7.604993556452366</v>
      </c>
      <c r="T37" s="61">
        <f t="shared" si="16"/>
        <v>7.000000000000006</v>
      </c>
      <c r="U37" s="61">
        <f t="shared" si="17"/>
        <v>6.3984079325608345</v>
      </c>
      <c r="V37" s="61">
        <f t="shared" si="18"/>
        <v>5.800198229753528</v>
      </c>
      <c r="W37" s="61">
        <f t="shared" si="19"/>
        <v>5.2053518747207095</v>
      </c>
      <c r="X37" s="61">
        <f t="shared" si="20"/>
        <v>4.613849957524674</v>
      </c>
      <c r="Y37" s="61">
        <f t="shared" si="21"/>
        <v>4.025673674546004</v>
      </c>
      <c r="Z37" s="61">
        <f t="shared" si="22"/>
        <v>3.4408043278860045</v>
      </c>
      <c r="AA37" s="61">
        <f t="shared" si="23"/>
        <v>2.8592233247721532</v>
      </c>
      <c r="AB37" s="61">
        <f t="shared" si="24"/>
        <v>2.2809121769671536</v>
      </c>
      <c r="AC37" s="61">
        <f aca="true" t="shared" si="25" ref="AC37:AC46">+IF(ISERROR((POWER(POWER(1+$C$5,1/12),$B37-18)-1)*$C$35),0,((POWER(POWER(1+$C$5,1/12),$B37-18)-1)*$C$35))</f>
        <v>1.7058525001811375</v>
      </c>
      <c r="AD37" s="61">
        <f>+IF(ISERROR((POWER(POWER(1+$C$5,1/12),$B37-19)-1)*$C$36),0,((POWER(POWER(1+$C$5,1/12),$B37-19)-1)*$C$36))</f>
        <v>1.1340260134872437</v>
      </c>
      <c r="AE37" s="62"/>
      <c r="AF37" s="62"/>
      <c r="AG37" s="62"/>
      <c r="AH37" s="62"/>
      <c r="AI37" s="62"/>
      <c r="AJ37" s="62"/>
      <c r="AK37" s="62"/>
      <c r="AN37" s="11"/>
      <c r="AO37" s="11"/>
      <c r="AP37" s="11"/>
      <c r="AQ37" s="11"/>
    </row>
    <row r="38" spans="2:43" ht="13.5">
      <c r="B38" s="63">
        <f t="shared" si="3"/>
        <v>22</v>
      </c>
      <c r="C38" s="64">
        <v>100</v>
      </c>
      <c r="D38" s="65">
        <f>+SUM($C$17:C38)</f>
        <v>2200</v>
      </c>
      <c r="E38" s="65">
        <f t="shared" si="0"/>
        <v>148.8752126330196</v>
      </c>
      <c r="F38" s="59">
        <f t="shared" si="4"/>
        <v>3.3333333333333335</v>
      </c>
      <c r="G38" s="65">
        <f t="shared" si="11"/>
        <v>73.33333333333334</v>
      </c>
      <c r="H38" s="65">
        <f t="shared" si="5"/>
        <v>4.96250708776732</v>
      </c>
      <c r="I38" s="60">
        <f>(SUM($F$17:F38)+H37)*(((1+$C$5)^(1/12))-1)</f>
        <v>0.440207070194542</v>
      </c>
      <c r="J38" s="61">
        <f t="shared" si="2"/>
        <v>0.5654145387405274</v>
      </c>
      <c r="K38" s="61">
        <f t="shared" si="6"/>
        <v>13.206212105836258</v>
      </c>
      <c r="L38" s="61">
        <f t="shared" si="7"/>
        <v>12.569726505951163</v>
      </c>
      <c r="M38" s="61">
        <f t="shared" si="8"/>
        <v>11.936819454551383</v>
      </c>
      <c r="N38" s="61">
        <f t="shared" si="9"/>
        <v>11.30747083176422</v>
      </c>
      <c r="O38" s="61">
        <f t="shared" si="10"/>
        <v>10.681660630838019</v>
      </c>
      <c r="P38" s="61">
        <f t="shared" si="12"/>
        <v>10.059368957506209</v>
      </c>
      <c r="Q38" s="61">
        <f t="shared" si="13"/>
        <v>9.44057602935484</v>
      </c>
      <c r="R38" s="70">
        <f t="shared" si="14"/>
        <v>8.825262175193815</v>
      </c>
      <c r="S38" s="61">
        <f t="shared" si="15"/>
        <v>8.21340783443134</v>
      </c>
      <c r="T38" s="61">
        <f t="shared" si="16"/>
        <v>7.604993556452366</v>
      </c>
      <c r="U38" s="61">
        <f t="shared" si="17"/>
        <v>7.000000000000006</v>
      </c>
      <c r="V38" s="61">
        <f t="shared" si="18"/>
        <v>6.3984079325608345</v>
      </c>
      <c r="W38" s="61">
        <f t="shared" si="19"/>
        <v>5.800198229753528</v>
      </c>
      <c r="X38" s="61">
        <f t="shared" si="20"/>
        <v>5.2053518747207095</v>
      </c>
      <c r="Y38" s="61">
        <f t="shared" si="21"/>
        <v>4.613849957524674</v>
      </c>
      <c r="Z38" s="61">
        <f t="shared" si="22"/>
        <v>4.025673674546004</v>
      </c>
      <c r="AA38" s="61">
        <f t="shared" si="23"/>
        <v>3.4408043278860045</v>
      </c>
      <c r="AB38" s="61">
        <f t="shared" si="24"/>
        <v>2.8592233247721532</v>
      </c>
      <c r="AC38" s="61">
        <f t="shared" si="25"/>
        <v>2.2809121769671536</v>
      </c>
      <c r="AD38" s="61">
        <f aca="true" t="shared" si="26" ref="AD38:AD46">+IF(ISERROR((POWER(POWER(1+$C$5,1/12),$B38-19)-1)*$C$36),0,((POWER(POWER(1+$C$5,1/12),$B38-19)-1)*$C$36))</f>
        <v>1.7058525001811375</v>
      </c>
      <c r="AE38" s="61">
        <f>+IF(ISERROR((POWER(POWER(1+$C$5,1/12),$B38-20)-1)*$C$37),0,((POWER(POWER(1+$C$5,1/12),$B38-20)-1)*$C$37))</f>
        <v>1.1340260134872437</v>
      </c>
      <c r="AF38" s="62"/>
      <c r="AG38" s="62"/>
      <c r="AH38" s="62"/>
      <c r="AI38" s="62"/>
      <c r="AJ38" s="62"/>
      <c r="AK38" s="62"/>
      <c r="AN38" s="11"/>
      <c r="AO38" s="11"/>
      <c r="AP38" s="11"/>
      <c r="AQ38" s="11"/>
    </row>
    <row r="39" spans="2:43" ht="13.5">
      <c r="B39" s="63">
        <f t="shared" si="3"/>
        <v>23</v>
      </c>
      <c r="C39" s="64">
        <v>100</v>
      </c>
      <c r="D39" s="65">
        <f>+SUM($C$17:C39)</f>
        <v>2300</v>
      </c>
      <c r="E39" s="65">
        <f t="shared" si="0"/>
        <v>162.7215091208597</v>
      </c>
      <c r="F39" s="59">
        <f t="shared" si="4"/>
        <v>3.3333333333333335</v>
      </c>
      <c r="G39" s="65">
        <f t="shared" si="11"/>
        <v>76.66666666666667</v>
      </c>
      <c r="H39" s="65">
        <f t="shared" si="5"/>
        <v>5.424050304028657</v>
      </c>
      <c r="I39" s="60">
        <f>(SUM($F$17:F39)+H38)*(((1+$C$5)^(1/12))-1)</f>
        <v>0.4615432162613366</v>
      </c>
      <c r="J39" s="61">
        <f t="shared" si="2"/>
        <v>0.5654145387405274</v>
      </c>
      <c r="K39" s="61">
        <f t="shared" si="6"/>
        <v>13.846296487840103</v>
      </c>
      <c r="L39" s="61">
        <f t="shared" si="7"/>
        <v>13.206212105836258</v>
      </c>
      <c r="M39" s="61">
        <f t="shared" si="8"/>
        <v>12.569726505951163</v>
      </c>
      <c r="N39" s="61">
        <f t="shared" si="9"/>
        <v>11.936819454551383</v>
      </c>
      <c r="O39" s="61">
        <f t="shared" si="10"/>
        <v>11.30747083176422</v>
      </c>
      <c r="P39" s="61">
        <f t="shared" si="12"/>
        <v>10.681660630838019</v>
      </c>
      <c r="Q39" s="61">
        <f t="shared" si="13"/>
        <v>10.059368957506209</v>
      </c>
      <c r="R39" s="70">
        <f t="shared" si="14"/>
        <v>9.44057602935484</v>
      </c>
      <c r="S39" s="61">
        <f t="shared" si="15"/>
        <v>8.825262175193815</v>
      </c>
      <c r="T39" s="61">
        <f t="shared" si="16"/>
        <v>8.21340783443134</v>
      </c>
      <c r="U39" s="61">
        <f t="shared" si="17"/>
        <v>7.604993556452366</v>
      </c>
      <c r="V39" s="61">
        <f t="shared" si="18"/>
        <v>7.000000000000006</v>
      </c>
      <c r="W39" s="61">
        <f t="shared" si="19"/>
        <v>6.3984079325608345</v>
      </c>
      <c r="X39" s="61">
        <f t="shared" si="20"/>
        <v>5.800198229753528</v>
      </c>
      <c r="Y39" s="61">
        <f t="shared" si="21"/>
        <v>5.2053518747207095</v>
      </c>
      <c r="Z39" s="61">
        <f t="shared" si="22"/>
        <v>4.613849957524674</v>
      </c>
      <c r="AA39" s="61">
        <f t="shared" si="23"/>
        <v>4.025673674546004</v>
      </c>
      <c r="AB39" s="61">
        <f t="shared" si="24"/>
        <v>3.4408043278860045</v>
      </c>
      <c r="AC39" s="61">
        <f t="shared" si="25"/>
        <v>2.8592233247721532</v>
      </c>
      <c r="AD39" s="61">
        <f t="shared" si="26"/>
        <v>2.2809121769671536</v>
      </c>
      <c r="AE39" s="61">
        <f aca="true" t="shared" si="27" ref="AE39:AE46">+IF(ISERROR((POWER(POWER(1+$C$5,1/12),$B39-20)-1)*$C$37),0,((POWER(POWER(1+$C$5,1/12),$B39-20)-1)*$C$37))</f>
        <v>1.7058525001811375</v>
      </c>
      <c r="AF39" s="61">
        <f>+IF(ISERROR((POWER(POWER(1+$C$5,1/12),$B39-21)-1)*$C$38),0,((POWER(POWER(1+$C$5,1/12),$B39-21)-1)*$C$38))</f>
        <v>1.1340260134872437</v>
      </c>
      <c r="AG39" s="62"/>
      <c r="AH39" s="62"/>
      <c r="AI39" s="62"/>
      <c r="AJ39" s="62"/>
      <c r="AK39" s="62"/>
      <c r="AN39" s="11"/>
      <c r="AO39" s="11"/>
      <c r="AP39" s="11"/>
      <c r="AQ39" s="11"/>
    </row>
    <row r="40" spans="2:43" ht="13.5">
      <c r="B40" s="63">
        <f>+B39+1</f>
        <v>24</v>
      </c>
      <c r="C40" s="64">
        <v>100</v>
      </c>
      <c r="D40" s="65">
        <f>+SUM($C$17:C40)</f>
        <v>2400</v>
      </c>
      <c r="E40" s="65">
        <f t="shared" si="0"/>
        <v>177.21150912085972</v>
      </c>
      <c r="F40" s="59">
        <f t="shared" si="4"/>
        <v>3.3333333333333335</v>
      </c>
      <c r="G40" s="65">
        <f t="shared" si="11"/>
        <v>80</v>
      </c>
      <c r="H40" s="65">
        <f t="shared" si="5"/>
        <v>5.907050304028656</v>
      </c>
      <c r="I40" s="60">
        <f>(SUM($F$17:F40)+H39)*(((1+$C$5)^(1/12))-1)</f>
        <v>0.4829999999999997</v>
      </c>
      <c r="J40" s="61">
        <f t="shared" si="2"/>
        <v>0.5654145387405274</v>
      </c>
      <c r="K40" s="61">
        <f t="shared" si="6"/>
        <v>14.48999999999998</v>
      </c>
      <c r="L40" s="61">
        <f t="shared" si="7"/>
        <v>13.846296487840103</v>
      </c>
      <c r="M40" s="61">
        <f t="shared" si="8"/>
        <v>13.206212105836258</v>
      </c>
      <c r="N40" s="61">
        <f t="shared" si="9"/>
        <v>12.569726505951163</v>
      </c>
      <c r="O40" s="61">
        <f t="shared" si="10"/>
        <v>11.936819454551383</v>
      </c>
      <c r="P40" s="61">
        <f t="shared" si="12"/>
        <v>11.30747083176422</v>
      </c>
      <c r="Q40" s="61">
        <f t="shared" si="13"/>
        <v>10.681660630838019</v>
      </c>
      <c r="R40" s="70">
        <f t="shared" si="14"/>
        <v>10.059368957506209</v>
      </c>
      <c r="S40" s="61">
        <f t="shared" si="15"/>
        <v>9.44057602935484</v>
      </c>
      <c r="T40" s="61">
        <f t="shared" si="16"/>
        <v>8.825262175193815</v>
      </c>
      <c r="U40" s="61">
        <f t="shared" si="17"/>
        <v>8.21340783443134</v>
      </c>
      <c r="V40" s="61">
        <f t="shared" si="18"/>
        <v>7.604993556452366</v>
      </c>
      <c r="W40" s="61">
        <f t="shared" si="19"/>
        <v>7.000000000000006</v>
      </c>
      <c r="X40" s="61">
        <f t="shared" si="20"/>
        <v>6.3984079325608345</v>
      </c>
      <c r="Y40" s="61">
        <f t="shared" si="21"/>
        <v>5.800198229753528</v>
      </c>
      <c r="Z40" s="61">
        <f t="shared" si="22"/>
        <v>5.2053518747207095</v>
      </c>
      <c r="AA40" s="61">
        <f t="shared" si="23"/>
        <v>4.613849957524674</v>
      </c>
      <c r="AB40" s="61">
        <f t="shared" si="24"/>
        <v>4.025673674546004</v>
      </c>
      <c r="AC40" s="61">
        <f t="shared" si="25"/>
        <v>3.4408043278860045</v>
      </c>
      <c r="AD40" s="61">
        <f t="shared" si="26"/>
        <v>2.8592233247721532</v>
      </c>
      <c r="AE40" s="61">
        <f t="shared" si="27"/>
        <v>2.2809121769671536</v>
      </c>
      <c r="AF40" s="61">
        <f aca="true" t="shared" si="28" ref="AF40:AF46">+IF(ISERROR((POWER(POWER(1+$C$5,1/12),$B40-21)-1)*$C$38),0,((POWER(POWER(1+$C$5,1/12),$B40-21)-1)*$C$38))</f>
        <v>1.7058525001811375</v>
      </c>
      <c r="AG40" s="61">
        <f>+IF(ISERROR((POWER(POWER(1+$C$5,1/12),$B40-22)-1)*$C$39),0,((POWER(POWER(1+$C$5,1/12),$B40-22)-1)*$C$39))</f>
        <v>1.1340260134872437</v>
      </c>
      <c r="AH40" s="62"/>
      <c r="AI40" s="62"/>
      <c r="AJ40" s="62"/>
      <c r="AK40" s="62"/>
      <c r="AN40" s="11"/>
      <c r="AO40" s="11"/>
      <c r="AP40" s="11"/>
      <c r="AQ40" s="11"/>
    </row>
    <row r="41" spans="2:43" ht="13.5">
      <c r="B41" s="63">
        <f aca="true" t="shared" si="29" ref="B41:B46">+B40+1</f>
        <v>25</v>
      </c>
      <c r="C41" s="64">
        <v>100</v>
      </c>
      <c r="D41" s="65">
        <f>+SUM($C$17:C41)</f>
        <v>2500</v>
      </c>
      <c r="E41" s="65">
        <f t="shared" si="0"/>
        <v>192.34885222626372</v>
      </c>
      <c r="F41" s="59">
        <f t="shared" si="4"/>
        <v>3.3333333333333335</v>
      </c>
      <c r="G41" s="65">
        <f t="shared" si="11"/>
        <v>83.33333333333333</v>
      </c>
      <c r="H41" s="65">
        <f t="shared" si="5"/>
        <v>6.411628407542124</v>
      </c>
      <c r="I41" s="60">
        <f>(SUM($F$17:F41)+H40)*(((1+$C$5)^(1/12))-1)</f>
        <v>0.5045781035134673</v>
      </c>
      <c r="J41" s="61">
        <f t="shared" si="2"/>
        <v>0.5654145387405274</v>
      </c>
      <c r="K41" s="61">
        <f t="shared" si="6"/>
        <v>15.137343105404021</v>
      </c>
      <c r="L41" s="61">
        <f t="shared" si="7"/>
        <v>14.48999999999998</v>
      </c>
      <c r="M41" s="61">
        <f t="shared" si="8"/>
        <v>13.846296487840103</v>
      </c>
      <c r="N41" s="61">
        <f t="shared" si="9"/>
        <v>13.206212105836258</v>
      </c>
      <c r="O41" s="61">
        <f t="shared" si="10"/>
        <v>12.569726505951163</v>
      </c>
      <c r="P41" s="61">
        <f t="shared" si="12"/>
        <v>11.936819454551383</v>
      </c>
      <c r="Q41" s="61">
        <f t="shared" si="13"/>
        <v>11.30747083176422</v>
      </c>
      <c r="R41" s="70">
        <f t="shared" si="14"/>
        <v>10.681660630838019</v>
      </c>
      <c r="S41" s="61">
        <f t="shared" si="15"/>
        <v>10.059368957506209</v>
      </c>
      <c r="T41" s="61">
        <f t="shared" si="16"/>
        <v>9.44057602935484</v>
      </c>
      <c r="U41" s="61">
        <f t="shared" si="17"/>
        <v>8.825262175193815</v>
      </c>
      <c r="V41" s="61">
        <f t="shared" si="18"/>
        <v>8.21340783443134</v>
      </c>
      <c r="W41" s="61">
        <f t="shared" si="19"/>
        <v>7.604993556452366</v>
      </c>
      <c r="X41" s="61">
        <f t="shared" si="20"/>
        <v>7.000000000000006</v>
      </c>
      <c r="Y41" s="61">
        <f t="shared" si="21"/>
        <v>6.3984079325608345</v>
      </c>
      <c r="Z41" s="61">
        <f t="shared" si="22"/>
        <v>5.800198229753528</v>
      </c>
      <c r="AA41" s="61">
        <f t="shared" si="23"/>
        <v>5.2053518747207095</v>
      </c>
      <c r="AB41" s="61">
        <f t="shared" si="24"/>
        <v>4.613849957524674</v>
      </c>
      <c r="AC41" s="61">
        <f t="shared" si="25"/>
        <v>4.025673674546004</v>
      </c>
      <c r="AD41" s="61">
        <f t="shared" si="26"/>
        <v>3.4408043278860045</v>
      </c>
      <c r="AE41" s="61">
        <f t="shared" si="27"/>
        <v>2.8592233247721532</v>
      </c>
      <c r="AF41" s="61">
        <f t="shared" si="28"/>
        <v>2.2809121769671536</v>
      </c>
      <c r="AG41" s="61">
        <f aca="true" t="shared" si="30" ref="AG41:AG46">+IF(ISERROR((POWER(POWER(1+$C$5,1/12),$B41-22)-1)*$C$39),0,((POWER(POWER(1+$C$5,1/12),$B41-22)-1)*$C$39))</f>
        <v>1.7058525001811375</v>
      </c>
      <c r="AH41" s="61">
        <f aca="true" t="shared" si="31" ref="AH41:AH46">+IF(ISERROR((POWER(POWER(1+$C$5,1/12),$B41-23)-1)*$C$40),0,((POWER(POWER(1+$C$5,1/12),$B41-23)-1)*$C$40))</f>
        <v>1.1340260134872437</v>
      </c>
      <c r="AI41" s="62"/>
      <c r="AJ41" s="62"/>
      <c r="AK41" s="62"/>
      <c r="AN41" s="11"/>
      <c r="AO41" s="11"/>
      <c r="AP41" s="11"/>
      <c r="AQ41" s="11"/>
    </row>
    <row r="42" spans="2:43" ht="13.5">
      <c r="B42" s="63">
        <f t="shared" si="29"/>
        <v>26</v>
      </c>
      <c r="C42" s="64">
        <v>100</v>
      </c>
      <c r="D42" s="65">
        <f>+SUM($C$17:C42)</f>
        <v>2600</v>
      </c>
      <c r="E42" s="65">
        <f t="shared" si="0"/>
        <v>208.13719860910527</v>
      </c>
      <c r="F42" s="59">
        <f t="shared" si="4"/>
        <v>3.3333333333333335</v>
      </c>
      <c r="G42" s="65">
        <f t="shared" si="11"/>
        <v>86.66666666666666</v>
      </c>
      <c r="H42" s="65">
        <f t="shared" si="5"/>
        <v>6.937906620303509</v>
      </c>
      <c r="I42" s="60">
        <f>(SUM($F$17:F42)+H41)*(((1+$C$5)^(1/12))-1)</f>
        <v>0.5262782127613846</v>
      </c>
      <c r="J42" s="61">
        <f t="shared" si="2"/>
        <v>0.5654145387405274</v>
      </c>
      <c r="K42" s="61">
        <f t="shared" si="6"/>
        <v>15.788346382841546</v>
      </c>
      <c r="L42" s="61">
        <f t="shared" si="7"/>
        <v>15.137343105404021</v>
      </c>
      <c r="M42" s="61">
        <f t="shared" si="8"/>
        <v>14.48999999999998</v>
      </c>
      <c r="N42" s="61">
        <f t="shared" si="9"/>
        <v>13.846296487840103</v>
      </c>
      <c r="O42" s="61">
        <f t="shared" si="10"/>
        <v>13.206212105836258</v>
      </c>
      <c r="P42" s="61">
        <f t="shared" si="12"/>
        <v>12.569726505951163</v>
      </c>
      <c r="Q42" s="61">
        <f t="shared" si="13"/>
        <v>11.936819454551383</v>
      </c>
      <c r="R42" s="70">
        <f t="shared" si="14"/>
        <v>11.30747083176422</v>
      </c>
      <c r="S42" s="61">
        <f t="shared" si="15"/>
        <v>10.681660630838019</v>
      </c>
      <c r="T42" s="61">
        <f t="shared" si="16"/>
        <v>10.059368957506209</v>
      </c>
      <c r="U42" s="61">
        <f t="shared" si="17"/>
        <v>9.44057602935484</v>
      </c>
      <c r="V42" s="61">
        <f t="shared" si="18"/>
        <v>8.825262175193815</v>
      </c>
      <c r="W42" s="61">
        <f t="shared" si="19"/>
        <v>8.21340783443134</v>
      </c>
      <c r="X42" s="61">
        <f t="shared" si="20"/>
        <v>7.604993556452366</v>
      </c>
      <c r="Y42" s="61">
        <f t="shared" si="21"/>
        <v>7.000000000000006</v>
      </c>
      <c r="Z42" s="61">
        <f t="shared" si="22"/>
        <v>6.3984079325608345</v>
      </c>
      <c r="AA42" s="61">
        <f t="shared" si="23"/>
        <v>5.800198229753528</v>
      </c>
      <c r="AB42" s="61">
        <f t="shared" si="24"/>
        <v>5.2053518747207095</v>
      </c>
      <c r="AC42" s="61">
        <f t="shared" si="25"/>
        <v>4.613849957524674</v>
      </c>
      <c r="AD42" s="61">
        <f t="shared" si="26"/>
        <v>4.025673674546004</v>
      </c>
      <c r="AE42" s="61">
        <f t="shared" si="27"/>
        <v>3.4408043278860045</v>
      </c>
      <c r="AF42" s="61">
        <f t="shared" si="28"/>
        <v>2.8592233247721532</v>
      </c>
      <c r="AG42" s="61">
        <f t="shared" si="30"/>
        <v>2.2809121769671536</v>
      </c>
      <c r="AH42" s="61">
        <f t="shared" si="31"/>
        <v>1.7058525001811375</v>
      </c>
      <c r="AI42" s="61">
        <f>+IF(ISERROR((POWER(POWER(1+$C$5,1/12),$B42-24)-1)*$C$41),0,((POWER(POWER(1+$C$5,1/12),$B42-24)-1)*$C$41))</f>
        <v>1.1340260134872437</v>
      </c>
      <c r="AJ42" s="62"/>
      <c r="AK42" s="62"/>
      <c r="AN42" s="11"/>
      <c r="AO42" s="11"/>
      <c r="AP42" s="11"/>
      <c r="AQ42" s="11"/>
    </row>
    <row r="43" spans="2:43" ht="13.5">
      <c r="B43" s="63">
        <f t="shared" si="29"/>
        <v>27</v>
      </c>
      <c r="C43" s="64">
        <v>100</v>
      </c>
      <c r="D43" s="65">
        <f>+SUM($C$17:C43)</f>
        <v>2700</v>
      </c>
      <c r="E43" s="65">
        <f t="shared" si="0"/>
        <v>224.58022913656265</v>
      </c>
      <c r="F43" s="59">
        <f t="shared" si="4"/>
        <v>3.3333333333333335</v>
      </c>
      <c r="G43" s="65">
        <f t="shared" si="11"/>
        <v>89.99999999999999</v>
      </c>
      <c r="H43" s="65">
        <f t="shared" si="5"/>
        <v>7.486007637885421</v>
      </c>
      <c r="I43" s="60">
        <f>(SUM($F$17:F43)+H42)*(((1+$C$5)^(1/12))-1)</f>
        <v>0.5481010175819122</v>
      </c>
      <c r="J43" s="61">
        <f t="shared" si="2"/>
        <v>0.5654145387405274</v>
      </c>
      <c r="K43" s="61">
        <f t="shared" si="6"/>
        <v>16.44303052745737</v>
      </c>
      <c r="L43" s="61">
        <f t="shared" si="7"/>
        <v>15.788346382841546</v>
      </c>
      <c r="M43" s="61">
        <f t="shared" si="8"/>
        <v>15.137343105404021</v>
      </c>
      <c r="N43" s="61">
        <f t="shared" si="9"/>
        <v>14.48999999999998</v>
      </c>
      <c r="O43" s="61">
        <f t="shared" si="10"/>
        <v>13.846296487840103</v>
      </c>
      <c r="P43" s="61">
        <f t="shared" si="12"/>
        <v>13.206212105836258</v>
      </c>
      <c r="Q43" s="61">
        <f t="shared" si="13"/>
        <v>12.569726505951163</v>
      </c>
      <c r="R43" s="70">
        <f t="shared" si="14"/>
        <v>11.936819454551383</v>
      </c>
      <c r="S43" s="61">
        <f t="shared" si="15"/>
        <v>11.30747083176422</v>
      </c>
      <c r="T43" s="61">
        <f t="shared" si="16"/>
        <v>10.681660630838019</v>
      </c>
      <c r="U43" s="61">
        <f t="shared" si="17"/>
        <v>10.059368957506209</v>
      </c>
      <c r="V43" s="61">
        <f t="shared" si="18"/>
        <v>9.44057602935484</v>
      </c>
      <c r="W43" s="61">
        <f t="shared" si="19"/>
        <v>8.825262175193815</v>
      </c>
      <c r="X43" s="61">
        <f t="shared" si="20"/>
        <v>8.21340783443134</v>
      </c>
      <c r="Y43" s="61">
        <f t="shared" si="21"/>
        <v>7.604993556452366</v>
      </c>
      <c r="Z43" s="61">
        <f t="shared" si="22"/>
        <v>7.000000000000006</v>
      </c>
      <c r="AA43" s="61">
        <f t="shared" si="23"/>
        <v>6.3984079325608345</v>
      </c>
      <c r="AB43" s="61">
        <f t="shared" si="24"/>
        <v>5.800198229753528</v>
      </c>
      <c r="AC43" s="61">
        <f t="shared" si="25"/>
        <v>5.2053518747207095</v>
      </c>
      <c r="AD43" s="61">
        <f t="shared" si="26"/>
        <v>4.613849957524674</v>
      </c>
      <c r="AE43" s="61">
        <f t="shared" si="27"/>
        <v>4.025673674546004</v>
      </c>
      <c r="AF43" s="61">
        <f t="shared" si="28"/>
        <v>3.4408043278860045</v>
      </c>
      <c r="AG43" s="61">
        <f t="shared" si="30"/>
        <v>2.8592233247721532</v>
      </c>
      <c r="AH43" s="61">
        <f t="shared" si="31"/>
        <v>2.2809121769671536</v>
      </c>
      <c r="AI43" s="61">
        <f>+IF(ISERROR((POWER(POWER(1+$C$5,1/12),$B43-24)-1)*$C$41),0,((POWER(POWER(1+$C$5,1/12),$B43-24)-1)*$C$41))</f>
        <v>1.7058525001811375</v>
      </c>
      <c r="AJ43" s="61">
        <f>+IF(ISERROR((POWER(POWER(1+$C$5,1/12),$B43-25)-1)*$C$42),0,((POWER(POWER(1+$C$5,1/12),$B43-25)-1)*$C$42))</f>
        <v>1.1340260134872437</v>
      </c>
      <c r="AK43" s="62"/>
      <c r="AN43" s="11"/>
      <c r="AO43" s="11"/>
      <c r="AP43" s="11"/>
      <c r="AQ43" s="11"/>
    </row>
    <row r="44" spans="2:43" ht="13.5">
      <c r="B44" s="63">
        <f t="shared" si="29"/>
        <v>28</v>
      </c>
      <c r="C44" s="64">
        <v>100</v>
      </c>
      <c r="D44" s="65">
        <f>+SUM($C$17:C44)</f>
        <v>2800</v>
      </c>
      <c r="E44" s="65">
        <f t="shared" si="0"/>
        <v>241.68164548797233</v>
      </c>
      <c r="F44" s="59">
        <f t="shared" si="4"/>
        <v>3.3333333333333335</v>
      </c>
      <c r="G44" s="65">
        <f t="shared" si="11"/>
        <v>93.33333333333331</v>
      </c>
      <c r="H44" s="65">
        <f t="shared" si="5"/>
        <v>8.056054849599077</v>
      </c>
      <c r="I44" s="60">
        <f>(SUM($F$17:F44)+H43)*(((1+$C$5)^(1/12))-1)</f>
        <v>0.5700472117136559</v>
      </c>
      <c r="J44" s="61">
        <f t="shared" si="2"/>
        <v>0.5654145387405274</v>
      </c>
      <c r="K44" s="61">
        <f t="shared" si="6"/>
        <v>17.10141635140967</v>
      </c>
      <c r="L44" s="61">
        <f t="shared" si="7"/>
        <v>16.44303052745737</v>
      </c>
      <c r="M44" s="61">
        <f t="shared" si="8"/>
        <v>15.788346382841546</v>
      </c>
      <c r="N44" s="61">
        <f t="shared" si="9"/>
        <v>15.137343105404021</v>
      </c>
      <c r="O44" s="61">
        <f t="shared" si="10"/>
        <v>14.48999999999998</v>
      </c>
      <c r="P44" s="61">
        <f t="shared" si="12"/>
        <v>13.846296487840103</v>
      </c>
      <c r="Q44" s="61">
        <f t="shared" si="13"/>
        <v>13.206212105836258</v>
      </c>
      <c r="R44" s="70">
        <f t="shared" si="14"/>
        <v>12.569726505951163</v>
      </c>
      <c r="S44" s="61">
        <f t="shared" si="15"/>
        <v>11.936819454551383</v>
      </c>
      <c r="T44" s="61">
        <f t="shared" si="16"/>
        <v>11.30747083176422</v>
      </c>
      <c r="U44" s="61">
        <f t="shared" si="17"/>
        <v>10.681660630838019</v>
      </c>
      <c r="V44" s="61">
        <f t="shared" si="18"/>
        <v>10.059368957506209</v>
      </c>
      <c r="W44" s="61">
        <f t="shared" si="19"/>
        <v>9.44057602935484</v>
      </c>
      <c r="X44" s="61">
        <f t="shared" si="20"/>
        <v>8.825262175193815</v>
      </c>
      <c r="Y44" s="61">
        <f t="shared" si="21"/>
        <v>8.21340783443134</v>
      </c>
      <c r="Z44" s="61">
        <f t="shared" si="22"/>
        <v>7.604993556452366</v>
      </c>
      <c r="AA44" s="61">
        <f t="shared" si="23"/>
        <v>7.000000000000006</v>
      </c>
      <c r="AB44" s="61">
        <f t="shared" si="24"/>
        <v>6.3984079325608345</v>
      </c>
      <c r="AC44" s="61">
        <f t="shared" si="25"/>
        <v>5.800198229753528</v>
      </c>
      <c r="AD44" s="61">
        <f t="shared" si="26"/>
        <v>5.2053518747207095</v>
      </c>
      <c r="AE44" s="61">
        <f t="shared" si="27"/>
        <v>4.613849957524674</v>
      </c>
      <c r="AF44" s="61">
        <f t="shared" si="28"/>
        <v>4.025673674546004</v>
      </c>
      <c r="AG44" s="61">
        <f t="shared" si="30"/>
        <v>3.4408043278860045</v>
      </c>
      <c r="AH44" s="61">
        <f t="shared" si="31"/>
        <v>2.8592233247721532</v>
      </c>
      <c r="AI44" s="61">
        <f>+IF(ISERROR((POWER(POWER(1+$C$5,1/12),$B44-24)-1)*$C$41),0,((POWER(POWER(1+$C$5,1/12),$B44-24)-1)*$C$41))</f>
        <v>2.2809121769671536</v>
      </c>
      <c r="AJ44" s="61">
        <f>+IF(ISERROR((POWER(POWER(1+$C$5,1/12),$B44-25)-1)*$C$42),0,((POWER(POWER(1+$C$5,1/12),$B44-25)-1)*$C$42))</f>
        <v>1.7058525001811375</v>
      </c>
      <c r="AK44" s="61">
        <f>+IF(ISERROR((POWER(POWER(1+$C$5,1/12),$B44-26)-1)*$C$43),0,((POWER(POWER(1+$C$5,1/12),$B44-26)-1)*$C$43))</f>
        <v>1.1340260134872437</v>
      </c>
      <c r="AN44" s="11"/>
      <c r="AO44" s="11"/>
      <c r="AP44" s="11"/>
      <c r="AQ44" s="11"/>
    </row>
    <row r="45" spans="2:43" ht="13.5">
      <c r="B45" s="63">
        <f t="shared" si="29"/>
        <v>29</v>
      </c>
      <c r="C45" s="64">
        <v>100</v>
      </c>
      <c r="D45" s="65">
        <f>+SUM($C$17:C45)</f>
        <v>2900</v>
      </c>
      <c r="E45" s="65">
        <f t="shared" si="0"/>
        <v>259.44517027250396</v>
      </c>
      <c r="F45" s="59">
        <f t="shared" si="4"/>
        <v>3.3333333333333335</v>
      </c>
      <c r="G45" s="65">
        <f>F45+G44</f>
        <v>96.66666666666664</v>
      </c>
      <c r="H45" s="65">
        <f t="shared" si="5"/>
        <v>8.648172342416798</v>
      </c>
      <c r="I45" s="60">
        <f>(SUM($F$17:F45)+H44)*(((1+$C$5)^(1/12))-1)</f>
        <v>0.5921174928177209</v>
      </c>
      <c r="J45" s="61">
        <f t="shared" si="2"/>
        <v>0.5654145387405274</v>
      </c>
      <c r="K45" s="61">
        <f t="shared" si="6"/>
        <v>17.763524784531626</v>
      </c>
      <c r="L45" s="61">
        <f t="shared" si="7"/>
        <v>17.10141635140967</v>
      </c>
      <c r="M45" s="61">
        <f t="shared" si="8"/>
        <v>16.44303052745737</v>
      </c>
      <c r="N45" s="61">
        <f t="shared" si="9"/>
        <v>15.788346382841546</v>
      </c>
      <c r="O45" s="61">
        <f t="shared" si="10"/>
        <v>15.137343105404021</v>
      </c>
      <c r="P45" s="61">
        <f t="shared" si="12"/>
        <v>14.48999999999998</v>
      </c>
      <c r="Q45" s="61">
        <f t="shared" si="13"/>
        <v>13.846296487840103</v>
      </c>
      <c r="R45" s="70">
        <f t="shared" si="14"/>
        <v>13.206212105836258</v>
      </c>
      <c r="S45" s="61">
        <f t="shared" si="15"/>
        <v>12.569726505951163</v>
      </c>
      <c r="T45" s="61">
        <f t="shared" si="16"/>
        <v>11.936819454551383</v>
      </c>
      <c r="U45" s="61">
        <f t="shared" si="17"/>
        <v>11.30747083176422</v>
      </c>
      <c r="V45" s="61">
        <f t="shared" si="18"/>
        <v>10.681660630838019</v>
      </c>
      <c r="W45" s="61">
        <f t="shared" si="19"/>
        <v>10.059368957506209</v>
      </c>
      <c r="X45" s="61">
        <f t="shared" si="20"/>
        <v>9.44057602935484</v>
      </c>
      <c r="Y45" s="61">
        <f t="shared" si="21"/>
        <v>8.825262175193815</v>
      </c>
      <c r="Z45" s="61">
        <f t="shared" si="22"/>
        <v>8.21340783443134</v>
      </c>
      <c r="AA45" s="61">
        <f t="shared" si="23"/>
        <v>7.604993556452366</v>
      </c>
      <c r="AB45" s="61">
        <f t="shared" si="24"/>
        <v>7.000000000000006</v>
      </c>
      <c r="AC45" s="61">
        <f t="shared" si="25"/>
        <v>6.3984079325608345</v>
      </c>
      <c r="AD45" s="61">
        <f t="shared" si="26"/>
        <v>5.800198229753528</v>
      </c>
      <c r="AE45" s="61">
        <f t="shared" si="27"/>
        <v>5.2053518747207095</v>
      </c>
      <c r="AF45" s="61">
        <f t="shared" si="28"/>
        <v>4.613849957524674</v>
      </c>
      <c r="AG45" s="61">
        <f t="shared" si="30"/>
        <v>4.025673674546004</v>
      </c>
      <c r="AH45" s="61">
        <f t="shared" si="31"/>
        <v>3.4408043278860045</v>
      </c>
      <c r="AI45" s="61">
        <f>+IF(ISERROR((POWER(POWER(1+$C$5,1/12),$B45-24)-1)*$C$41),0,((POWER(POWER(1+$C$5,1/12),$B45-24)-1)*$C$41))</f>
        <v>2.8592233247721532</v>
      </c>
      <c r="AJ45" s="61">
        <f>+IF(ISERROR((POWER(POWER(1+$C$5,1/12),$B45-25)-1)*$C$42),0,((POWER(POWER(1+$C$5,1/12),$B45-25)-1)*$C$42))</f>
        <v>2.2809121769671536</v>
      </c>
      <c r="AK45" s="61">
        <f>+IF(ISERROR((POWER(POWER(1+$C$5,1/12),$B45-26)-1)*$C$43),0,((POWER(POWER(1+$C$5,1/12),$B45-26)-1)*$C$43))</f>
        <v>1.7058525001811375</v>
      </c>
      <c r="AL45" s="61">
        <f>+IF(ISERROR((POWER(POWER(1+$C$5,1/12),$B45-27)-1)*$C$44),0,((POWER(POWER(1+$C$5,1/12),$B45-27)-1)*$C$44))</f>
        <v>1.1340260134872437</v>
      </c>
      <c r="AN45" s="11"/>
      <c r="AO45" s="11"/>
      <c r="AP45" s="11"/>
      <c r="AQ45" s="11"/>
    </row>
    <row r="46" spans="2:43" ht="13.5">
      <c r="B46" s="63">
        <f t="shared" si="29"/>
        <v>30</v>
      </c>
      <c r="C46" s="64">
        <v>100</v>
      </c>
      <c r="D46" s="73">
        <f>+SUM($C$17:C46)</f>
        <v>3000</v>
      </c>
      <c r="E46" s="73">
        <f t="shared" si="0"/>
        <v>277.87454714750055</v>
      </c>
      <c r="F46" s="59">
        <f t="shared" si="4"/>
        <v>3.3333333333333335</v>
      </c>
      <c r="G46" s="65">
        <f>F46+G45</f>
        <v>99.99999999999997</v>
      </c>
      <c r="H46" s="65">
        <f t="shared" si="5"/>
        <v>9.262484904916686</v>
      </c>
      <c r="I46" s="60">
        <f>(SUM($F$17:F46)+H45)*(((1+$C$5)^(1/12))-1)</f>
        <v>0.6143125624998891</v>
      </c>
      <c r="J46" s="61">
        <f t="shared" si="2"/>
        <v>0.5654145387405274</v>
      </c>
      <c r="K46" s="61">
        <f t="shared" si="6"/>
        <v>18.429376874996684</v>
      </c>
      <c r="L46" s="61">
        <f t="shared" si="7"/>
        <v>17.763524784531626</v>
      </c>
      <c r="M46" s="61">
        <f t="shared" si="8"/>
        <v>17.10141635140967</v>
      </c>
      <c r="N46" s="61">
        <f t="shared" si="9"/>
        <v>16.44303052745737</v>
      </c>
      <c r="O46" s="61">
        <f t="shared" si="10"/>
        <v>15.788346382841546</v>
      </c>
      <c r="P46" s="61">
        <f t="shared" si="12"/>
        <v>15.137343105404021</v>
      </c>
      <c r="Q46" s="61">
        <f t="shared" si="13"/>
        <v>14.48999999999998</v>
      </c>
      <c r="R46" s="70">
        <f t="shared" si="14"/>
        <v>13.846296487840103</v>
      </c>
      <c r="S46" s="61">
        <f t="shared" si="15"/>
        <v>13.206212105836258</v>
      </c>
      <c r="T46" s="61">
        <f t="shared" si="16"/>
        <v>12.569726505951163</v>
      </c>
      <c r="U46" s="61">
        <f t="shared" si="17"/>
        <v>11.936819454551383</v>
      </c>
      <c r="V46" s="61">
        <f t="shared" si="18"/>
        <v>11.30747083176422</v>
      </c>
      <c r="W46" s="61">
        <f t="shared" si="19"/>
        <v>10.681660630838019</v>
      </c>
      <c r="X46" s="61">
        <f t="shared" si="20"/>
        <v>10.059368957506209</v>
      </c>
      <c r="Y46" s="61">
        <f t="shared" si="21"/>
        <v>9.44057602935484</v>
      </c>
      <c r="Z46" s="61">
        <f t="shared" si="22"/>
        <v>8.825262175193815</v>
      </c>
      <c r="AA46" s="61">
        <f t="shared" si="23"/>
        <v>8.21340783443134</v>
      </c>
      <c r="AB46" s="61">
        <f t="shared" si="24"/>
        <v>7.604993556452366</v>
      </c>
      <c r="AC46" s="61">
        <f t="shared" si="25"/>
        <v>7.000000000000006</v>
      </c>
      <c r="AD46" s="61">
        <f t="shared" si="26"/>
        <v>6.3984079325608345</v>
      </c>
      <c r="AE46" s="61">
        <f t="shared" si="27"/>
        <v>5.800198229753528</v>
      </c>
      <c r="AF46" s="61">
        <f t="shared" si="28"/>
        <v>5.2053518747207095</v>
      </c>
      <c r="AG46" s="61">
        <f t="shared" si="30"/>
        <v>4.613849957524674</v>
      </c>
      <c r="AH46" s="61">
        <f t="shared" si="31"/>
        <v>4.025673674546004</v>
      </c>
      <c r="AI46" s="61">
        <f>+IF(ISERROR((POWER(POWER(1+$C$5,1/12),$B46-24)-1)*$C$41),0,((POWER(POWER(1+$C$5,1/12),$B46-24)-1)*$C$41))</f>
        <v>3.4408043278860045</v>
      </c>
      <c r="AJ46" s="61">
        <f>+IF(ISERROR((POWER(POWER(1+$C$5,1/12),$B46-25)-1)*$C$42),0,((POWER(POWER(1+$C$5,1/12),$B46-25)-1)*$C$42))</f>
        <v>2.8592233247721532</v>
      </c>
      <c r="AK46" s="61">
        <f>+IF(ISERROR((POWER(POWER(1+$C$5,1/12),$B46-26)-1)*$C$43),0,((POWER(POWER(1+$C$5,1/12),$B46-26)-1)*$C$43))</f>
        <v>2.2809121769671536</v>
      </c>
      <c r="AL46" s="61">
        <f>+IF(ISERROR((POWER(POWER(1+$C$5,1/12),$B46-27)-1)*$C$44),0,((POWER(POWER(1+$C$5,1/12),$B46-27)-1)*$C$44))</f>
        <v>1.7058525001811375</v>
      </c>
      <c r="AM46" s="61">
        <f>+IF(ISERROR((POWER(POWER(1+$C$5,1/12),$B46-28)-1)*$C$45),0,((POWER(POWER(1+$C$5,1/12),$B46-28)-1)*$C$45))</f>
        <v>1.1340260134872437</v>
      </c>
      <c r="AN46" s="11"/>
      <c r="AO46" s="11"/>
      <c r="AP46" s="11"/>
      <c r="AQ46" s="11"/>
    </row>
    <row r="47" spans="2:43" ht="13.5" customHeight="1">
      <c r="B47" s="63">
        <v>1</v>
      </c>
      <c r="C47" s="74" t="s">
        <v>75</v>
      </c>
      <c r="D47" s="65">
        <f>MAX(D17:D46)</f>
        <v>3000</v>
      </c>
      <c r="E47" s="65">
        <f aca="true" t="shared" si="32" ref="E47:E52">+IF(ISERROR((POWER(POWER(1+$C$5,1/12),B47)-1)*($D$47+MAX($E$17:$E$46))+MAX($E$17:$E$46)),0,(POWER(POWER(1+$C$5,1/12),B47)-1)*($D$47+MAX($E$17:$E$46))+MAX($E$17:$E$46))</f>
        <v>296.40812639874775</v>
      </c>
      <c r="F47" s="74" t="s">
        <v>75</v>
      </c>
      <c r="G47" s="95">
        <f>MAX(G17:G46)</f>
        <v>99.99999999999997</v>
      </c>
      <c r="H47" s="58">
        <f t="shared" si="5"/>
        <v>9.880270879958259</v>
      </c>
      <c r="I47" s="60">
        <f aca="true" t="shared" si="33" ref="I47:I52">(SUM($G$47)+H46)*(((1+$C$5)^(1/12))-1)</f>
        <v>0.617785975041573</v>
      </c>
      <c r="J47" s="75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N47" s="11"/>
      <c r="AO47" s="11"/>
      <c r="AP47" s="11"/>
      <c r="AQ47" s="11"/>
    </row>
    <row r="48" spans="2:43" ht="13.5">
      <c r="B48" s="63">
        <f>+B47+1</f>
        <v>2</v>
      </c>
      <c r="C48" s="74"/>
      <c r="D48" s="65"/>
      <c r="E48" s="65">
        <f t="shared" si="32"/>
        <v>315.0464972016304</v>
      </c>
      <c r="F48" s="74"/>
      <c r="G48" s="95"/>
      <c r="H48" s="65">
        <f t="shared" si="5"/>
        <v>10.501549906721017</v>
      </c>
      <c r="I48" s="60">
        <f t="shared" si="33"/>
        <v>0.6212790267627578</v>
      </c>
      <c r="J48" s="75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N48" s="11"/>
      <c r="AO48" s="11"/>
      <c r="AP48" s="11"/>
      <c r="AQ48" s="11"/>
    </row>
    <row r="49" spans="2:43" ht="13.5">
      <c r="B49" s="63">
        <f>+B48+1</f>
        <v>3</v>
      </c>
      <c r="C49" s="74"/>
      <c r="D49" s="65"/>
      <c r="E49" s="65">
        <f t="shared" si="32"/>
        <v>333.79025206281733</v>
      </c>
      <c r="F49" s="74"/>
      <c r="G49" s="95"/>
      <c r="H49" s="65">
        <f t="shared" si="5"/>
        <v>11.126341735427237</v>
      </c>
      <c r="I49" s="60">
        <f t="shared" si="33"/>
        <v>0.6247918287062201</v>
      </c>
      <c r="J49" s="75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N49" s="11"/>
      <c r="AO49" s="11"/>
      <c r="AP49" s="11"/>
      <c r="AQ49" s="11"/>
    </row>
    <row r="50" spans="2:43" ht="13.5">
      <c r="B50" s="63">
        <f>+B49+1</f>
        <v>4</v>
      </c>
      <c r="C50" s="74"/>
      <c r="D50" s="65"/>
      <c r="E50" s="65">
        <f t="shared" si="32"/>
        <v>352.63998683909483</v>
      </c>
      <c r="F50" s="74"/>
      <c r="G50" s="95"/>
      <c r="H50" s="65">
        <f t="shared" si="5"/>
        <v>11.754666227969825</v>
      </c>
      <c r="I50" s="60">
        <f t="shared" si="33"/>
        <v>0.6283244925425879</v>
      </c>
      <c r="J50" s="75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N50" s="11"/>
      <c r="AO50" s="11"/>
      <c r="AP50" s="11"/>
      <c r="AQ50" s="11"/>
    </row>
    <row r="51" spans="2:43" ht="13.5">
      <c r="B51" s="63">
        <f>+B50+1</f>
        <v>5</v>
      </c>
      <c r="C51" s="74"/>
      <c r="D51" s="65"/>
      <c r="E51" s="65">
        <f t="shared" si="32"/>
        <v>371.5963007563115</v>
      </c>
      <c r="F51" s="74"/>
      <c r="G51" s="95"/>
      <c r="H51" s="65">
        <f>I51+H50</f>
        <v>12.386543358543715</v>
      </c>
      <c r="I51" s="60">
        <f t="shared" si="33"/>
        <v>0.6318771305738914</v>
      </c>
      <c r="J51" s="75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N51" s="11"/>
      <c r="AO51" s="11"/>
      <c r="AP51" s="11"/>
      <c r="AQ51" s="11"/>
    </row>
    <row r="52" spans="2:43" ht="13.5">
      <c r="B52" s="63">
        <f>+B51+1</f>
        <v>6</v>
      </c>
      <c r="C52" s="74"/>
      <c r="D52" s="65"/>
      <c r="E52" s="65">
        <f t="shared" si="32"/>
        <v>390.6597964284255</v>
      </c>
      <c r="F52" s="74"/>
      <c r="G52" s="95"/>
      <c r="H52" s="73">
        <f t="shared" si="5"/>
        <v>13.021993214280847</v>
      </c>
      <c r="I52" s="60">
        <f t="shared" si="33"/>
        <v>0.6354498557371326</v>
      </c>
      <c r="J52" s="75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N52" s="11"/>
      <c r="AO52" s="11"/>
      <c r="AP52" s="11"/>
      <c r="AQ52" s="11"/>
    </row>
    <row r="53" spans="2:43" ht="21.75" customHeight="1">
      <c r="B53" s="76"/>
      <c r="C53" s="96" t="s">
        <v>80</v>
      </c>
      <c r="D53" s="96"/>
      <c r="E53" s="97"/>
      <c r="F53" s="77" t="s">
        <v>77</v>
      </c>
      <c r="G53" s="77"/>
      <c r="H53" s="77"/>
      <c r="I53" s="60"/>
      <c r="J53" s="78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N53" s="11"/>
      <c r="AO53" s="11"/>
      <c r="AP53" s="11"/>
      <c r="AQ53" s="11"/>
    </row>
    <row r="54" spans="2:43" ht="13.5">
      <c r="B54" s="98">
        <f>+C6</f>
        <v>0</v>
      </c>
      <c r="C54" s="98"/>
      <c r="D54" s="81">
        <f>+D47+MAX(E47:E52)</f>
        <v>3390.6597964284256</v>
      </c>
      <c r="E54" s="81"/>
      <c r="F54" s="80">
        <f>C6</f>
        <v>0</v>
      </c>
      <c r="G54" s="81">
        <f>+G47+MAX(H47:H52)</f>
        <v>113.02199321428083</v>
      </c>
      <c r="H54" s="81"/>
      <c r="I54" s="60"/>
      <c r="J54" s="78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N54" s="11"/>
      <c r="AO54" s="11"/>
      <c r="AP54" s="11"/>
      <c r="AQ54" s="11"/>
    </row>
    <row r="55" spans="2:43" ht="13.5">
      <c r="B55" s="98"/>
      <c r="C55" s="98"/>
      <c r="D55" s="81"/>
      <c r="E55" s="81"/>
      <c r="F55" s="80"/>
      <c r="G55" s="80"/>
      <c r="H55" s="81"/>
      <c r="I55" s="60"/>
      <c r="J55" s="78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N55" s="11"/>
      <c r="AO55" s="11"/>
      <c r="AP55" s="11"/>
      <c r="AQ55" s="11"/>
    </row>
    <row r="56" spans="3:4" ht="13.5">
      <c r="C56" s="10"/>
      <c r="D56" s="10"/>
    </row>
    <row r="57" spans="3:4" ht="13.5">
      <c r="C57" s="10"/>
      <c r="D57" s="10"/>
    </row>
    <row r="58" spans="3:4" ht="13.5">
      <c r="C58" s="10"/>
      <c r="D58" s="10"/>
    </row>
  </sheetData>
  <sheetProtection sheet="1" objects="1" scenarios="1"/>
  <mergeCells count="13">
    <mergeCell ref="E2:H2"/>
    <mergeCell ref="H11:AQ11"/>
    <mergeCell ref="AO16:AQ31"/>
    <mergeCell ref="AT16:AV31"/>
    <mergeCell ref="C47:C52"/>
    <mergeCell ref="D47:D52"/>
    <mergeCell ref="F47:F52"/>
    <mergeCell ref="G47:G52"/>
    <mergeCell ref="F53:H53"/>
    <mergeCell ref="B54:C55"/>
    <mergeCell ref="D54:E55"/>
    <mergeCell ref="F54:F55"/>
    <mergeCell ref="G54:H55"/>
  </mergeCells>
  <printOptions/>
  <pageMargins left="0.7" right="0.7" top="0.75" bottom="0.75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4"/>
  <sheetViews>
    <sheetView showGridLines="0" workbookViewId="0" topLeftCell="B1">
      <selection activeCell="BB11" sqref="BB11"/>
    </sheetView>
  </sheetViews>
  <sheetFormatPr defaultColWidth="11.421875" defaultRowHeight="15"/>
  <cols>
    <col min="1" max="1" width="3.00390625" style="8" customWidth="1"/>
    <col min="2" max="2" width="19.7109375" style="8" customWidth="1"/>
    <col min="3" max="3" width="10.00390625" style="9" customWidth="1"/>
    <col min="4" max="4" width="11.421875" style="9" customWidth="1"/>
    <col min="5" max="5" width="13.421875" style="10" customWidth="1"/>
    <col min="6" max="6" width="15.140625" style="10" customWidth="1"/>
    <col min="7" max="7" width="13.421875" style="10" customWidth="1"/>
    <col min="8" max="8" width="15.421875" style="10" customWidth="1"/>
    <col min="9" max="9" width="0" style="10" hidden="1" customWidth="1"/>
    <col min="10" max="10" width="0" style="9" hidden="1" customWidth="1"/>
    <col min="11" max="47" width="0" style="8" hidden="1" customWidth="1"/>
    <col min="48" max="48" width="6.421875" style="8" customWidth="1"/>
    <col min="49" max="49" width="15.00390625" style="8" customWidth="1"/>
    <col min="50" max="16384" width="11.421875" style="8" customWidth="1"/>
  </cols>
  <sheetData>
    <row r="1" spans="1:51" ht="27">
      <c r="A1" s="11"/>
      <c r="B1" s="99"/>
      <c r="C1" s="100"/>
      <c r="D1" s="101" t="s">
        <v>38</v>
      </c>
      <c r="E1" s="92"/>
      <c r="F1" s="92"/>
      <c r="G1" s="92"/>
      <c r="H1" s="102"/>
      <c r="I1" s="102"/>
      <c r="J1" s="100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</row>
    <row r="2" spans="1:51" ht="23.25">
      <c r="A2" s="16"/>
      <c r="B2" s="19" t="s">
        <v>39</v>
      </c>
      <c r="C2" s="19"/>
      <c r="D2" s="103"/>
      <c r="E2" s="48" t="s">
        <v>40</v>
      </c>
      <c r="F2" s="48"/>
      <c r="G2" s="48"/>
      <c r="H2" s="48"/>
      <c r="I2" s="104"/>
      <c r="J2" s="18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05"/>
      <c r="AW2" s="48" t="s">
        <v>41</v>
      </c>
      <c r="AX2" s="48"/>
      <c r="AY2" s="16"/>
    </row>
    <row r="3" spans="1:51" ht="9.75" customHeight="1">
      <c r="A3" s="11"/>
      <c r="B3" s="106"/>
      <c r="C3" s="107"/>
      <c r="D3" s="107"/>
      <c r="E3" s="106"/>
      <c r="F3" s="92"/>
      <c r="G3" s="92"/>
      <c r="H3" s="92"/>
      <c r="I3" s="102"/>
      <c r="J3" s="100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7"/>
      <c r="AW3" s="92"/>
      <c r="AX3" s="92"/>
      <c r="AY3" s="92"/>
    </row>
    <row r="4" spans="1:51" ht="26.25" customHeight="1">
      <c r="A4" s="11"/>
      <c r="B4" s="22" t="s">
        <v>42</v>
      </c>
      <c r="C4" s="23">
        <v>0.02</v>
      </c>
      <c r="D4" s="108"/>
      <c r="E4" s="100"/>
      <c r="F4" s="24" t="s">
        <v>43</v>
      </c>
      <c r="G4" s="24" t="s">
        <v>44</v>
      </c>
      <c r="H4" s="24" t="s">
        <v>45</v>
      </c>
      <c r="I4" s="102"/>
      <c r="J4" s="100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22" t="s">
        <v>46</v>
      </c>
      <c r="AX4" s="25">
        <f>D60+G60</f>
        <v>945.1247842577061</v>
      </c>
      <c r="AY4" s="7"/>
    </row>
    <row r="5" spans="1:51" ht="60">
      <c r="A5" s="11"/>
      <c r="B5" s="22" t="s">
        <v>47</v>
      </c>
      <c r="C5" s="23">
        <v>0.05</v>
      </c>
      <c r="D5" s="109"/>
      <c r="E5" s="24" t="s">
        <v>48</v>
      </c>
      <c r="F5" s="28">
        <v>2200</v>
      </c>
      <c r="G5" s="28">
        <v>2800</v>
      </c>
      <c r="H5" s="28">
        <v>3200</v>
      </c>
      <c r="I5" s="102"/>
      <c r="J5" s="100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30" t="s">
        <v>49</v>
      </c>
      <c r="AX5" s="31">
        <f>D60</f>
        <v>708.8435881932796</v>
      </c>
      <c r="AY5" s="7"/>
    </row>
    <row r="6" spans="1:51" s="29" customFormat="1" ht="45">
      <c r="A6" s="26"/>
      <c r="B6" s="22" t="s">
        <v>50</v>
      </c>
      <c r="C6" s="36" t="s">
        <v>51</v>
      </c>
      <c r="D6" s="109"/>
      <c r="E6" s="24" t="s">
        <v>52</v>
      </c>
      <c r="F6" s="34">
        <v>1</v>
      </c>
      <c r="G6" s="34">
        <v>2</v>
      </c>
      <c r="H6" s="34">
        <v>3</v>
      </c>
      <c r="I6" s="110"/>
      <c r="J6" s="108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92"/>
      <c r="AW6" s="30" t="s">
        <v>53</v>
      </c>
      <c r="AX6" s="31">
        <f>G60</f>
        <v>236.28119606442652</v>
      </c>
      <c r="AY6" s="7"/>
    </row>
    <row r="7" spans="1:51" s="29" customFormat="1" ht="27.75">
      <c r="A7" s="26"/>
      <c r="B7" s="35" t="s">
        <v>54</v>
      </c>
      <c r="C7" s="36">
        <f>IF(D41&gt;MIN(F10,F11),"el préstamo no puede superar el 85% del total del presupuesto ni ser mayor al préstamo otorgado",D41)</f>
        <v>600</v>
      </c>
      <c r="D7" s="109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92"/>
      <c r="AW7" s="22" t="s">
        <v>81</v>
      </c>
      <c r="AX7" s="37">
        <v>300</v>
      </c>
      <c r="AY7" s="7"/>
    </row>
    <row r="8" spans="1:51" s="29" customFormat="1" ht="45" customHeight="1">
      <c r="A8" s="26"/>
      <c r="B8" s="35" t="s">
        <v>82</v>
      </c>
      <c r="C8" s="38">
        <v>200</v>
      </c>
      <c r="D8" s="109"/>
      <c r="E8" s="35" t="s">
        <v>57</v>
      </c>
      <c r="F8" s="39">
        <v>1740</v>
      </c>
      <c r="G8" s="111"/>
      <c r="H8" s="111"/>
      <c r="I8" s="110"/>
      <c r="J8" s="108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92"/>
      <c r="AW8" s="22" t="s">
        <v>58</v>
      </c>
      <c r="AX8" s="40">
        <f>+IF(ISERROR(PMT(((1+$C$4)^(0.0833333333333333)-1),AX7,-AX4)),0,PMT(((1+$C$4)^(0.0833333333333333)-1),AX7,-AX4))</f>
        <v>3.997628247265644</v>
      </c>
      <c r="AY8" s="7"/>
    </row>
    <row r="9" spans="1:51" ht="34.5" customHeight="1">
      <c r="A9" s="11"/>
      <c r="B9" s="92"/>
      <c r="C9" s="92"/>
      <c r="D9" s="7"/>
      <c r="E9" s="35" t="s">
        <v>79</v>
      </c>
      <c r="F9" s="41">
        <f>0.9*(F5*F6+G5*G6+H5*H6)+F8</f>
        <v>17400</v>
      </c>
      <c r="G9" s="92"/>
      <c r="H9" s="92"/>
      <c r="I9" s="112"/>
      <c r="J9" s="109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22" t="s">
        <v>60</v>
      </c>
      <c r="AX9" s="40">
        <f>+IF(ISERROR(PMT(((1+$C$4)^(0.0833333333333333)-1),AX7,-AX5)),0,PMT(((1+$C$4)^(0.0833333333333333)-1),AX7,-AX5))</f>
        <v>2.9982211854492333</v>
      </c>
      <c r="AY9" s="7"/>
    </row>
    <row r="10" spans="1:51" ht="45">
      <c r="A10" s="11"/>
      <c r="B10" s="92"/>
      <c r="C10" s="92"/>
      <c r="D10" s="109"/>
      <c r="E10" s="35" t="s">
        <v>83</v>
      </c>
      <c r="F10" s="41">
        <f>0.85*F9</f>
        <v>14790</v>
      </c>
      <c r="G10" s="107"/>
      <c r="H10" s="92" t="s">
        <v>74</v>
      </c>
      <c r="I10" s="112"/>
      <c r="J10" s="109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7"/>
    </row>
    <row r="11" spans="1:51" ht="61.5" customHeight="1">
      <c r="A11" s="11"/>
      <c r="B11" s="92"/>
      <c r="C11" s="92"/>
      <c r="D11" s="109"/>
      <c r="E11" s="35" t="s">
        <v>62</v>
      </c>
      <c r="F11" s="43">
        <v>14790</v>
      </c>
      <c r="G11" s="92"/>
      <c r="H11" s="35" t="s">
        <v>84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</row>
    <row r="12" spans="1:51" ht="27.75">
      <c r="A12" s="11"/>
      <c r="B12" s="92"/>
      <c r="C12" s="92"/>
      <c r="D12" s="109"/>
      <c r="E12" s="35" t="s">
        <v>85</v>
      </c>
      <c r="F12" s="41">
        <f>0.15*F11/0.85</f>
        <v>2610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7"/>
    </row>
    <row r="13" spans="1:51" ht="14.25">
      <c r="A13" s="113"/>
      <c r="B13" s="114"/>
      <c r="C13" s="115"/>
      <c r="D13" s="116"/>
      <c r="E13" s="117"/>
      <c r="F13" s="114"/>
      <c r="G13" s="115"/>
      <c r="H13" s="114" t="s">
        <v>74</v>
      </c>
      <c r="I13" s="117"/>
      <c r="J13" s="116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4"/>
    </row>
    <row r="14" spans="1:51" ht="23.25">
      <c r="A14" s="11"/>
      <c r="B14" s="118" t="s">
        <v>65</v>
      </c>
      <c r="C14" s="33"/>
      <c r="D14" s="33"/>
      <c r="E14" s="47"/>
      <c r="F14" s="7"/>
      <c r="G14" s="42"/>
      <c r="H14" s="7"/>
      <c r="I14" s="47"/>
      <c r="J14" s="3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92"/>
      <c r="AW14" s="11"/>
      <c r="AX14" s="11"/>
      <c r="AY14" s="7"/>
    </row>
    <row r="15" spans="1:51" ht="13.5" customHeight="1">
      <c r="A15" s="11"/>
      <c r="B15" s="15"/>
      <c r="C15" s="12"/>
      <c r="D15" s="12"/>
      <c r="E15" s="11"/>
      <c r="F15" s="11"/>
      <c r="G15" s="11"/>
      <c r="H15" s="14"/>
      <c r="I15" s="14"/>
      <c r="J15" s="1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92"/>
      <c r="AW15" s="92"/>
      <c r="AX15" s="92"/>
      <c r="AY15" s="92"/>
    </row>
    <row r="16" spans="1:51" s="29" customFormat="1" ht="45.75" customHeight="1">
      <c r="A16" s="26"/>
      <c r="B16" s="49" t="s">
        <v>66</v>
      </c>
      <c r="C16" s="50" t="s">
        <v>86</v>
      </c>
      <c r="D16" s="50" t="s">
        <v>68</v>
      </c>
      <c r="E16" s="51" t="s">
        <v>87</v>
      </c>
      <c r="F16" s="50" t="s">
        <v>70</v>
      </c>
      <c r="G16" s="50" t="s">
        <v>71</v>
      </c>
      <c r="H16" s="51" t="s">
        <v>72</v>
      </c>
      <c r="I16" s="52" t="s">
        <v>73</v>
      </c>
      <c r="J16" s="53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N16" s="54"/>
      <c r="AO16" s="119" t="s">
        <v>88</v>
      </c>
      <c r="AP16" s="119"/>
      <c r="AQ16" s="119"/>
      <c r="AS16" s="88"/>
      <c r="AV16" s="111"/>
      <c r="AW16" s="55"/>
      <c r="AX16" s="55"/>
      <c r="AY16" s="55"/>
    </row>
    <row r="17" spans="1:51" ht="13.5">
      <c r="A17" s="11"/>
      <c r="B17" s="56">
        <v>1</v>
      </c>
      <c r="C17" s="57">
        <v>200</v>
      </c>
      <c r="D17" s="58">
        <f>+SUM(C17)</f>
        <v>200</v>
      </c>
      <c r="E17" s="58">
        <f>+SUM(J17:AS17)</f>
        <v>0.8148247567296707</v>
      </c>
      <c r="F17" s="120">
        <f>IF(ISERROR($C$8*C17/$D$53),0,$C$8*C17/$D$53)</f>
        <v>66.66666666666667</v>
      </c>
      <c r="G17" s="58">
        <f>F17</f>
        <v>66.66666666666667</v>
      </c>
      <c r="H17" s="58">
        <f>I17</f>
        <v>0.2716082522432236</v>
      </c>
      <c r="I17" s="60">
        <f>(SUM($F$17:F17))*(((1+$C$5)^(1/12))-1)</f>
        <v>0.2716082522432236</v>
      </c>
      <c r="J17" s="61">
        <f>+IF(ISERROR((POWER(POWER(1+$C$5,1/12),1)-1)*C17),0,(POWER(POWER(1+$C$5,1/12),1)-1)*C17)</f>
        <v>0.8148247567296707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N17" s="62"/>
      <c r="AO17" s="119"/>
      <c r="AP17" s="119"/>
      <c r="AQ17" s="119"/>
      <c r="AS17" s="89"/>
      <c r="AV17" s="92"/>
      <c r="AW17" s="55"/>
      <c r="AX17" s="55"/>
      <c r="AY17" s="55"/>
    </row>
    <row r="18" spans="1:51" ht="13.5">
      <c r="A18" s="11"/>
      <c r="B18" s="63">
        <f>+B17+1</f>
        <v>2</v>
      </c>
      <c r="C18" s="64">
        <v>200</v>
      </c>
      <c r="D18" s="65">
        <f>+SUM($C$17:C18)</f>
        <v>400</v>
      </c>
      <c r="E18" s="65">
        <f>+SUM(J18:AS18)</f>
        <v>2.4477939671099236</v>
      </c>
      <c r="F18" s="120">
        <f aca="true" t="shared" si="0" ref="F18:F52">IF(ISERROR($C$8*C18/$D$53),0,$C$8*C18/$D$53)</f>
        <v>66.66666666666667</v>
      </c>
      <c r="G18" s="65">
        <f>F18+G17</f>
        <v>133.33333333333334</v>
      </c>
      <c r="H18" s="65">
        <f>I18+H17</f>
        <v>0.81593132236997</v>
      </c>
      <c r="I18" s="60">
        <f>(SUM($F$17:F18)+H17)*(((1+$C$5)^(1/12))-1)</f>
        <v>0.5443230701267464</v>
      </c>
      <c r="J18" s="61">
        <f aca="true" t="shared" si="1" ref="J18:J52">+IF(ISERROR((POWER(POWER(1+$C$5,1/12),1)-1)*C18),0,(POWER(POWER(1+$C$5,1/12),1)-1)*C18)</f>
        <v>0.8148247567296707</v>
      </c>
      <c r="K18" s="61">
        <f>+IF(ISERROR((POWER(POWER(1+$C$5,1/12),B18)-1)*$C$17),0,(POWER(POWER(1+$C$5,1/12),B18)-1)*$C$17)</f>
        <v>1.632969210380253</v>
      </c>
      <c r="L18" s="62"/>
      <c r="M18" s="62"/>
      <c r="N18" s="62" t="s">
        <v>74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N18" s="62"/>
      <c r="AO18" s="119"/>
      <c r="AP18" s="119"/>
      <c r="AQ18" s="119"/>
      <c r="AS18" s="89"/>
      <c r="AV18" s="92"/>
      <c r="AW18" s="55"/>
      <c r="AX18" s="55"/>
      <c r="AY18" s="55"/>
    </row>
    <row r="19" spans="1:51" ht="13.5">
      <c r="A19" s="11"/>
      <c r="B19" s="63">
        <f aca="true" t="shared" si="2" ref="B19:B39">+B18+1</f>
        <v>3</v>
      </c>
      <c r="C19" s="64">
        <v>200</v>
      </c>
      <c r="D19" s="65">
        <f>+SUM($C$17:C19)</f>
        <v>600</v>
      </c>
      <c r="E19" s="65">
        <f>+SUM(J19:AS19)</f>
        <v>4.902240852917794</v>
      </c>
      <c r="F19" s="120">
        <f t="shared" si="0"/>
        <v>66.66666666666667</v>
      </c>
      <c r="G19" s="65">
        <f aca="true" t="shared" si="3" ref="G19:G52">F19+G18</f>
        <v>200</v>
      </c>
      <c r="H19" s="65">
        <f aca="true" t="shared" si="4" ref="H19:H58">I19+H18</f>
        <v>1.6340802843059319</v>
      </c>
      <c r="I19" s="60">
        <f>(SUM($F$17:F19)+H18)*(((1+$C$5)^(1/12))-1)</f>
        <v>0.8181489619359619</v>
      </c>
      <c r="J19" s="61">
        <f t="shared" si="1"/>
        <v>0.8148247567296707</v>
      </c>
      <c r="K19" s="61">
        <f aca="true" t="shared" si="5" ref="K19:K52">+IF(ISERROR((POWER(POWER(1+$C$5,1/12),B19)-1)*$C$17),0,(POWER(POWER(1+$C$5,1/12),B19)-1)*$C$17)</f>
        <v>2.4544468858078705</v>
      </c>
      <c r="L19" s="61">
        <f>+IF(ISERROR((POWER(POWER(1+$C$5,1/12),B18)-1)*$C$18),0,(POWER(POWER(1+$C$5,1/12),B18)-1)*$C$18)</f>
        <v>1.632969210380253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N19" s="62"/>
      <c r="AO19" s="119"/>
      <c r="AP19" s="119"/>
      <c r="AQ19" s="119"/>
      <c r="AS19" s="89"/>
      <c r="AV19" s="92"/>
      <c r="AW19" s="55"/>
      <c r="AX19" s="55"/>
      <c r="AY19" s="55"/>
    </row>
    <row r="20" spans="1:51" ht="13.5">
      <c r="A20" s="11"/>
      <c r="B20" s="63">
        <f t="shared" si="2"/>
        <v>4</v>
      </c>
      <c r="C20" s="64"/>
      <c r="D20" s="65">
        <f>+SUM($C$17:C20)</f>
        <v>600</v>
      </c>
      <c r="E20" s="65">
        <f aca="true" t="shared" si="6" ref="E20:E50">+SUM(J20:AS20)</f>
        <v>7.366687459158872</v>
      </c>
      <c r="F20" s="120">
        <f t="shared" si="0"/>
        <v>0</v>
      </c>
      <c r="G20" s="65">
        <f t="shared" si="3"/>
        <v>200</v>
      </c>
      <c r="H20" s="65">
        <f t="shared" si="4"/>
        <v>2.455562486386284</v>
      </c>
      <c r="I20" s="60">
        <f>(SUM($F$17:F20)+H19)*(((1+$C$5)^(1/12))-1)</f>
        <v>0.8214822020803523</v>
      </c>
      <c r="J20" s="61">
        <f t="shared" si="1"/>
        <v>0</v>
      </c>
      <c r="K20" s="61">
        <f t="shared" si="5"/>
        <v>3.279271362970748</v>
      </c>
      <c r="L20" s="61">
        <f aca="true" t="shared" si="7" ref="L20:L52">+IF(ISERROR((POWER(POWER(1+$C$5,1/12),B19)-1)*$C$18),0,(POWER(POWER(1+$C$5,1/12),B19)-1)*$C$18)</f>
        <v>2.4544468858078705</v>
      </c>
      <c r="M20" s="61">
        <f>+IF(ISERROR((POWER(POWER(1+$C$5,1/12),$B20-2)-1)*$C$19),0,(POWER(POWER(1+$C$5,1/12),$B20-2)-1)*$C$19)</f>
        <v>1.632969210380253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N20" s="62"/>
      <c r="AO20" s="119"/>
      <c r="AP20" s="119"/>
      <c r="AQ20" s="119"/>
      <c r="AS20" s="89"/>
      <c r="AV20" s="92"/>
      <c r="AW20" s="55"/>
      <c r="AX20" s="55"/>
      <c r="AY20" s="55"/>
    </row>
    <row r="21" spans="1:51" ht="13.5">
      <c r="A21" s="11"/>
      <c r="B21" s="63">
        <f t="shared" si="2"/>
        <v>5</v>
      </c>
      <c r="C21" s="64"/>
      <c r="D21" s="65">
        <f>+SUM($C$17:C21)</f>
        <v>600</v>
      </c>
      <c r="E21" s="65">
        <f t="shared" si="6"/>
        <v>9.841174525931917</v>
      </c>
      <c r="F21" s="120">
        <f t="shared" si="0"/>
        <v>0</v>
      </c>
      <c r="G21" s="65">
        <f t="shared" si="3"/>
        <v>200</v>
      </c>
      <c r="H21" s="65">
        <f t="shared" si="4"/>
        <v>3.2803915086439757</v>
      </c>
      <c r="I21" s="60">
        <f>(SUM($F$17:F21)+H20)*(((1+$C$5)^(1/12))-1)</f>
        <v>0.8248290222576917</v>
      </c>
      <c r="J21" s="61">
        <f t="shared" si="1"/>
        <v>0</v>
      </c>
      <c r="K21" s="61">
        <f t="shared" si="5"/>
        <v>4.1074562771532985</v>
      </c>
      <c r="L21" s="61">
        <f t="shared" si="7"/>
        <v>3.279271362970748</v>
      </c>
      <c r="M21" s="61">
        <f aca="true" t="shared" si="8" ref="M21:M52">+IF(ISERROR((POWER(POWER(1+$C$5,1/12),$B21-2)-1)*$C$19),0,(POWER(POWER(1+$C$5,1/12),$B21-2)-1)*$C$19)</f>
        <v>2.4544468858078705</v>
      </c>
      <c r="N21" s="61">
        <f>+IF(ISERROR((POWER(POWER(1+$C$5,1/12),$B21-3)-1)*$C$20),0,(POWER(POWER(1+$C$5,1/12),$B21-3)-1)*$C$20)</f>
        <v>0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N21" s="62"/>
      <c r="AO21" s="119"/>
      <c r="AP21" s="119"/>
      <c r="AQ21" s="119"/>
      <c r="AS21" s="89"/>
      <c r="AV21" s="92"/>
      <c r="AW21" s="55"/>
      <c r="AX21" s="55"/>
      <c r="AY21" s="55"/>
    </row>
    <row r="22" spans="1:51" ht="13.5">
      <c r="A22" s="11"/>
      <c r="B22" s="63">
        <f t="shared" si="2"/>
        <v>6</v>
      </c>
      <c r="C22" s="64"/>
      <c r="D22" s="65">
        <f>+SUM($C$17:C22)</f>
        <v>600</v>
      </c>
      <c r="E22" s="65">
        <f t="shared" si="6"/>
        <v>12.325742959316077</v>
      </c>
      <c r="F22" s="120">
        <f t="shared" si="0"/>
        <v>0</v>
      </c>
      <c r="G22" s="65">
        <f t="shared" si="3"/>
        <v>200</v>
      </c>
      <c r="H22" s="65">
        <f>I22+H21</f>
        <v>4.108580986438691</v>
      </c>
      <c r="I22" s="60">
        <f>(SUM($F$17:F22)+H21)*(((1+$C$5)^(1/12))-1)</f>
        <v>0.8281894777947153</v>
      </c>
      <c r="J22" s="61">
        <f t="shared" si="1"/>
        <v>0</v>
      </c>
      <c r="K22" s="61">
        <f t="shared" si="5"/>
        <v>4.9390153191920305</v>
      </c>
      <c r="L22" s="61">
        <f t="shared" si="7"/>
        <v>4.1074562771532985</v>
      </c>
      <c r="M22" s="61">
        <f t="shared" si="8"/>
        <v>3.279271362970748</v>
      </c>
      <c r="N22" s="61">
        <f aca="true" t="shared" si="9" ref="N22:N52">+IF(ISERROR((POWER(POWER(1+$C$5,1/12),$B22-3)-1)*$C$20),0,(POWER(POWER(1+$C$5,1/12),$B22-3)-1)*$C$20)</f>
        <v>0</v>
      </c>
      <c r="O22" s="61">
        <f>+IF(ISERROR((POWER(POWER(1+$C$5,1/12),$B22-4)-1)*$C$21),0,((POWER(POWER(1+$C$5,1/12),$B22-4)-1)*$C$21))</f>
        <v>0</v>
      </c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N22" s="62"/>
      <c r="AO22" s="119"/>
      <c r="AP22" s="119"/>
      <c r="AQ22" s="119"/>
      <c r="AS22" s="89"/>
      <c r="AV22" s="92"/>
      <c r="AW22" s="55"/>
      <c r="AX22" s="55"/>
      <c r="AY22" s="55"/>
    </row>
    <row r="23" spans="1:51" ht="13.5">
      <c r="A23" s="11"/>
      <c r="B23" s="63">
        <f t="shared" si="2"/>
        <v>7</v>
      </c>
      <c r="C23" s="64"/>
      <c r="D23" s="65">
        <f>+SUM($C$17:C23)</f>
        <v>600</v>
      </c>
      <c r="E23" s="65">
        <f t="shared" si="6"/>
        <v>14.820433832046742</v>
      </c>
      <c r="F23" s="120">
        <f t="shared" si="0"/>
        <v>0</v>
      </c>
      <c r="G23" s="65">
        <f>F23+G22</f>
        <v>200</v>
      </c>
      <c r="H23" s="65">
        <f>I23+H22</f>
        <v>4.940144610682257</v>
      </c>
      <c r="I23" s="60">
        <f>(SUM($F$17:F23)+H22)*(((1+$C$5)^(1/12))-1)</f>
        <v>0.8315636242435659</v>
      </c>
      <c r="J23" s="61">
        <f t="shared" si="1"/>
        <v>0</v>
      </c>
      <c r="K23" s="61">
        <f t="shared" si="5"/>
        <v>5.773962235701413</v>
      </c>
      <c r="L23" s="61">
        <f t="shared" si="7"/>
        <v>4.9390153191920305</v>
      </c>
      <c r="M23" s="61">
        <f t="shared" si="8"/>
        <v>4.1074562771532985</v>
      </c>
      <c r="N23" s="61">
        <f t="shared" si="9"/>
        <v>0</v>
      </c>
      <c r="O23" s="61">
        <f aca="true" t="shared" si="10" ref="O23:O52">+IF(ISERROR((POWER(POWER(1+$C$5,1/12),$B23-4)-1)*$C$21),0,((POWER(POWER(1+$C$5,1/12),$B23-4)-1)*$C$21))</f>
        <v>0</v>
      </c>
      <c r="P23" s="61">
        <f>+IF(ISERROR((POWER(POWER(1+$C$5,1/12),$B23-5)-1)*$C$22),0,((POWER(POWER(1+$C$5,1/12),$B23-5)-1)*$C$22))</f>
        <v>0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N23" s="62"/>
      <c r="AO23" s="119"/>
      <c r="AP23" s="119"/>
      <c r="AQ23" s="119"/>
      <c r="AS23" s="89"/>
      <c r="AV23" s="92"/>
      <c r="AW23" s="55"/>
      <c r="AX23" s="55"/>
      <c r="AY23" s="55"/>
    </row>
    <row r="24" spans="1:51" ht="13.5">
      <c r="A24" s="11"/>
      <c r="B24" s="63">
        <f t="shared" si="2"/>
        <v>8</v>
      </c>
      <c r="C24" s="64"/>
      <c r="D24" s="65">
        <f>+SUM($C$17:C24)</f>
        <v>600</v>
      </c>
      <c r="E24" s="65">
        <f t="shared" si="6"/>
        <v>17.325288384194913</v>
      </c>
      <c r="F24" s="120">
        <f t="shared" si="0"/>
        <v>0</v>
      </c>
      <c r="G24" s="65">
        <f t="shared" si="3"/>
        <v>200</v>
      </c>
      <c r="H24" s="65">
        <f t="shared" si="4"/>
        <v>5.775096128064971</v>
      </c>
      <c r="I24" s="60">
        <f>(SUM($F$17:F24)+H23)*(((1+$C$5)^(1/12))-1)</f>
        <v>0.8349515173827136</v>
      </c>
      <c r="J24" s="61">
        <f t="shared" si="1"/>
        <v>0</v>
      </c>
      <c r="K24" s="61">
        <f t="shared" si="5"/>
        <v>6.612310829301471</v>
      </c>
      <c r="L24" s="61">
        <f t="shared" si="7"/>
        <v>5.773962235701413</v>
      </c>
      <c r="M24" s="61">
        <f t="shared" si="8"/>
        <v>4.9390153191920305</v>
      </c>
      <c r="N24" s="61">
        <f t="shared" si="9"/>
        <v>0</v>
      </c>
      <c r="O24" s="61">
        <f t="shared" si="10"/>
        <v>0</v>
      </c>
      <c r="P24" s="61">
        <f aca="true" t="shared" si="11" ref="P24:P52">+IF(ISERROR((POWER(POWER(1+$C$5,1/12),$B24-5)-1)*$C$22),0,((POWER(POWER(1+$C$5,1/12),$B24-5)-1)*$C$22))</f>
        <v>0</v>
      </c>
      <c r="Q24" s="61">
        <f>+IF(ISERROR((POWER(POWER(1+$C$5,1/12),$B24-6)-1)*$C$23),0,((POWER(POWER(1+$C$5,1/12),$B24-6)-1)*$C$23))</f>
        <v>0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N24" s="62"/>
      <c r="AO24" s="119"/>
      <c r="AP24" s="119"/>
      <c r="AQ24" s="119"/>
      <c r="AS24" s="89"/>
      <c r="AV24" s="92"/>
      <c r="AW24" s="55"/>
      <c r="AX24" s="55"/>
      <c r="AY24" s="55"/>
    </row>
    <row r="25" spans="1:51" ht="13.5">
      <c r="A25" s="11"/>
      <c r="B25" s="63">
        <f t="shared" si="2"/>
        <v>9</v>
      </c>
      <c r="C25" s="64"/>
      <c r="D25" s="65">
        <f>+SUM($C$17:C25)</f>
        <v>600</v>
      </c>
      <c r="E25" s="65">
        <f t="shared" si="6"/>
        <v>19.84034802384853</v>
      </c>
      <c r="F25" s="120">
        <f t="shared" si="0"/>
        <v>0</v>
      </c>
      <c r="G25" s="65">
        <f t="shared" si="3"/>
        <v>200</v>
      </c>
      <c r="H25" s="65">
        <f t="shared" si="4"/>
        <v>6.613449341282847</v>
      </c>
      <c r="I25" s="60">
        <f>(SUM($F$17:F25)+H24)*(((1+$C$5)^(1/12))-1)</f>
        <v>0.8383532132178757</v>
      </c>
      <c r="J25" s="61">
        <f t="shared" si="1"/>
        <v>0</v>
      </c>
      <c r="K25" s="61">
        <f t="shared" si="5"/>
        <v>7.454074958845647</v>
      </c>
      <c r="L25" s="61">
        <f t="shared" si="7"/>
        <v>6.612310829301471</v>
      </c>
      <c r="M25" s="61">
        <f t="shared" si="8"/>
        <v>5.773962235701413</v>
      </c>
      <c r="N25" s="61">
        <f t="shared" si="9"/>
        <v>0</v>
      </c>
      <c r="O25" s="61">
        <f t="shared" si="10"/>
        <v>0</v>
      </c>
      <c r="P25" s="61">
        <f t="shared" si="11"/>
        <v>0</v>
      </c>
      <c r="Q25" s="61">
        <f aca="true" t="shared" si="12" ref="Q25:Q52">+IF(ISERROR((POWER(POWER(1+$C$5,1/12),$B25-6)-1)*$C$23),0,((POWER(POWER(1+$C$5,1/12),$B25-6)-1)*$C$23))</f>
        <v>0</v>
      </c>
      <c r="R25" s="61">
        <f>+IF(ISERROR((POWER(POWER(1+$C$5,1/12),$B25-7)-1)*$C$24),0,((POWER(POWER(1+$C$5,1/12),$B25-7)-1)*$C$24))</f>
        <v>0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N25" s="62"/>
      <c r="AO25" s="119"/>
      <c r="AP25" s="119"/>
      <c r="AQ25" s="119"/>
      <c r="AS25" s="89"/>
      <c r="AV25" s="92"/>
      <c r="AW25" s="55"/>
      <c r="AX25" s="55"/>
      <c r="AY25" s="55"/>
    </row>
    <row r="26" spans="1:51" ht="13.5">
      <c r="A26" s="11"/>
      <c r="B26" s="63">
        <f t="shared" si="2"/>
        <v>10</v>
      </c>
      <c r="C26" s="64"/>
      <c r="D26" s="65">
        <f>+SUM($C$17:C26)</f>
        <v>600</v>
      </c>
      <c r="E26" s="65">
        <f t="shared" si="6"/>
        <v>22.36565432779738</v>
      </c>
      <c r="F26" s="120">
        <f t="shared" si="0"/>
        <v>0</v>
      </c>
      <c r="G26" s="65">
        <f t="shared" si="3"/>
        <v>200</v>
      </c>
      <c r="H26" s="65">
        <f t="shared" si="4"/>
        <v>7.455218109265791</v>
      </c>
      <c r="I26" s="60">
        <f>(SUM($F$17:F26)+H25)*(((1+$C$5)^(1/12))-1)</f>
        <v>0.8417687679829448</v>
      </c>
      <c r="J26" s="61">
        <f t="shared" si="1"/>
        <v>0</v>
      </c>
      <c r="K26" s="61">
        <f t="shared" si="5"/>
        <v>8.299268539650262</v>
      </c>
      <c r="L26" s="61">
        <f t="shared" si="7"/>
        <v>7.454074958845647</v>
      </c>
      <c r="M26" s="61">
        <f t="shared" si="8"/>
        <v>6.612310829301471</v>
      </c>
      <c r="N26" s="61">
        <f t="shared" si="9"/>
        <v>0</v>
      </c>
      <c r="O26" s="61">
        <f t="shared" si="10"/>
        <v>0</v>
      </c>
      <c r="P26" s="61">
        <f t="shared" si="11"/>
        <v>0</v>
      </c>
      <c r="Q26" s="61">
        <f t="shared" si="12"/>
        <v>0</v>
      </c>
      <c r="R26" s="61">
        <f aca="true" t="shared" si="13" ref="R26:R52">+IF(ISERROR((POWER(POWER(1+$C$5,1/12),$B26-7)-1)*$C$24),0,((POWER(POWER(1+$C$5,1/12),$B26-7)-1)*$C$24))</f>
        <v>0</v>
      </c>
      <c r="S26" s="61">
        <f>+IF(ISERROR((POWER(POWER(1+$C$5,1/12),$B26-8)-1)*$C$25),0,((POWER(POWER(1+$C$5,1/12),$B26-8)-1)*$C$25))</f>
        <v>0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N26" s="62"/>
      <c r="AO26" s="119"/>
      <c r="AP26" s="119"/>
      <c r="AQ26" s="119"/>
      <c r="AS26" s="89"/>
      <c r="AV26" s="92"/>
      <c r="AW26" s="55"/>
      <c r="AX26" s="55"/>
      <c r="AY26" s="55"/>
    </row>
    <row r="27" spans="1:51" ht="13.5">
      <c r="A27" s="11"/>
      <c r="B27" s="63">
        <f t="shared" si="2"/>
        <v>11</v>
      </c>
      <c r="C27" s="64"/>
      <c r="D27" s="65">
        <f>+SUM($C$17:C27)</f>
        <v>600</v>
      </c>
      <c r="E27" s="65">
        <f t="shared" si="6"/>
        <v>24.90124904222011</v>
      </c>
      <c r="F27" s="120">
        <f t="shared" si="0"/>
        <v>0</v>
      </c>
      <c r="G27" s="65">
        <f t="shared" si="3"/>
        <v>200</v>
      </c>
      <c r="H27" s="65">
        <f t="shared" si="4"/>
        <v>8.300416347406708</v>
      </c>
      <c r="I27" s="60">
        <f>(SUM($F$17:F27)+H26)*(((1+$C$5)^(1/12))-1)</f>
        <v>0.8451982381409163</v>
      </c>
      <c r="J27" s="61">
        <f t="shared" si="1"/>
        <v>0</v>
      </c>
      <c r="K27" s="61">
        <f t="shared" si="5"/>
        <v>9.1479055437242</v>
      </c>
      <c r="L27" s="61">
        <f t="shared" si="7"/>
        <v>8.299268539650262</v>
      </c>
      <c r="M27" s="61">
        <f t="shared" si="8"/>
        <v>7.454074958845647</v>
      </c>
      <c r="N27" s="61">
        <f t="shared" si="9"/>
        <v>0</v>
      </c>
      <c r="O27" s="61">
        <f t="shared" si="10"/>
        <v>0</v>
      </c>
      <c r="P27" s="61">
        <f t="shared" si="11"/>
        <v>0</v>
      </c>
      <c r="Q27" s="61">
        <f t="shared" si="12"/>
        <v>0</v>
      </c>
      <c r="R27" s="61">
        <f t="shared" si="13"/>
        <v>0</v>
      </c>
      <c r="S27" s="61">
        <f aca="true" t="shared" si="14" ref="S27:S52">+IF(ISERROR((POWER(POWER(1+$C$5,1/12),$B27-8)-1)*$C$25),0,((POWER(POWER(1+$C$5,1/12),$B27-8)-1)*$C$25))</f>
        <v>0</v>
      </c>
      <c r="T27" s="61">
        <f>+IF(ISERROR((POWER(POWER(1+$C$5,1/12),$B27-9)-1)*$C$26),0,((POWER(POWER(1+$C$5,1/12),$B27-9)-1)*$C$26))</f>
        <v>0</v>
      </c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N27" s="62"/>
      <c r="AO27" s="119"/>
      <c r="AP27" s="119"/>
      <c r="AQ27" s="119"/>
      <c r="AS27" s="89"/>
      <c r="AV27" s="92"/>
      <c r="AW27" s="55"/>
      <c r="AX27" s="55"/>
      <c r="AY27" s="55"/>
    </row>
    <row r="28" spans="1:51" ht="13.5">
      <c r="A28" s="11"/>
      <c r="B28" s="63">
        <f t="shared" si="2"/>
        <v>12</v>
      </c>
      <c r="C28" s="64"/>
      <c r="D28" s="65">
        <f>+SUM($C$17:C28)</f>
        <v>600</v>
      </c>
      <c r="E28" s="65">
        <f t="shared" si="6"/>
        <v>27.447174083374605</v>
      </c>
      <c r="F28" s="120">
        <f t="shared" si="0"/>
        <v>0</v>
      </c>
      <c r="G28" s="65">
        <f t="shared" si="3"/>
        <v>200</v>
      </c>
      <c r="H28" s="65">
        <f>I28+H27</f>
        <v>9.149058027791533</v>
      </c>
      <c r="I28" s="60">
        <f>(SUM($F$17:F28)+H27)*(((1+$C$5)^(1/12))-1)</f>
        <v>0.8486416803848239</v>
      </c>
      <c r="J28" s="61">
        <f t="shared" si="1"/>
        <v>0</v>
      </c>
      <c r="K28" s="61">
        <f t="shared" si="5"/>
        <v>10.000000000000142</v>
      </c>
      <c r="L28" s="61">
        <f t="shared" si="7"/>
        <v>9.1479055437242</v>
      </c>
      <c r="M28" s="61">
        <f t="shared" si="8"/>
        <v>8.299268539650262</v>
      </c>
      <c r="N28" s="61">
        <f t="shared" si="9"/>
        <v>0</v>
      </c>
      <c r="O28" s="61">
        <f t="shared" si="10"/>
        <v>0</v>
      </c>
      <c r="P28" s="61">
        <f t="shared" si="11"/>
        <v>0</v>
      </c>
      <c r="Q28" s="61">
        <f t="shared" si="12"/>
        <v>0</v>
      </c>
      <c r="R28" s="61">
        <f t="shared" si="13"/>
        <v>0</v>
      </c>
      <c r="S28" s="61">
        <f t="shared" si="14"/>
        <v>0</v>
      </c>
      <c r="T28" s="61">
        <f aca="true" t="shared" si="15" ref="T28:T52">+IF(ISERROR((POWER(POWER(1+$C$5,1/12),$B28-9)-1)*$C$26),0,((POWER(POWER(1+$C$5,1/12),$B28-9)-1)*$C$26))</f>
        <v>0</v>
      </c>
      <c r="U28" s="61">
        <f>+IF(ISERROR((POWER(POWER(1+$C$5,1/12),$B28-10)-1)*$C$27),0,((POWER(POWER(1+$C$5,1/12),$B28-10)-1)*$C$27))</f>
        <v>0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N28" s="62"/>
      <c r="AO28" s="119"/>
      <c r="AP28" s="119"/>
      <c r="AQ28" s="119"/>
      <c r="AS28" s="89"/>
      <c r="AV28" s="92"/>
      <c r="AW28" s="55"/>
      <c r="AX28" s="55"/>
      <c r="AY28" s="55"/>
    </row>
    <row r="29" spans="1:51" ht="13.5">
      <c r="A29" s="11"/>
      <c r="B29" s="63">
        <f t="shared" si="2"/>
        <v>13</v>
      </c>
      <c r="C29" s="64"/>
      <c r="D29" s="65">
        <f>+SUM($C$17:C29)</f>
        <v>600</v>
      </c>
      <c r="E29" s="65">
        <f t="shared" si="6"/>
        <v>30.00347153829064</v>
      </c>
      <c r="F29" s="120">
        <f t="shared" si="0"/>
        <v>0</v>
      </c>
      <c r="G29" s="65">
        <f t="shared" si="3"/>
        <v>200</v>
      </c>
      <c r="H29" s="65">
        <f>I29+H28</f>
        <v>10.001157179430209</v>
      </c>
      <c r="I29" s="60">
        <f>(SUM($F$17:F29)+H28)*(((1+$C$5)^(1/12))-1)</f>
        <v>0.8520991516386751</v>
      </c>
      <c r="J29" s="61">
        <f t="shared" si="1"/>
        <v>0</v>
      </c>
      <c r="K29" s="61">
        <f t="shared" si="5"/>
        <v>10.855565994566296</v>
      </c>
      <c r="L29" s="61">
        <f t="shared" si="7"/>
        <v>10.000000000000142</v>
      </c>
      <c r="M29" s="61">
        <f t="shared" si="8"/>
        <v>9.1479055437242</v>
      </c>
      <c r="N29" s="61">
        <f t="shared" si="9"/>
        <v>0</v>
      </c>
      <c r="O29" s="61">
        <f t="shared" si="10"/>
        <v>0</v>
      </c>
      <c r="P29" s="61">
        <f t="shared" si="11"/>
        <v>0</v>
      </c>
      <c r="Q29" s="61">
        <f t="shared" si="12"/>
        <v>0</v>
      </c>
      <c r="R29" s="61">
        <f t="shared" si="13"/>
        <v>0</v>
      </c>
      <c r="S29" s="61">
        <f t="shared" si="14"/>
        <v>0</v>
      </c>
      <c r="T29" s="61">
        <f t="shared" si="15"/>
        <v>0</v>
      </c>
      <c r="U29" s="61">
        <f aca="true" t="shared" si="16" ref="U29:U52">+IF(ISERROR((POWER(POWER(1+$C$5,1/12),$B29-10)-1)*$C$27),0,((POWER(POWER(1+$C$5,1/12),$B29-10)-1)*$C$27))</f>
        <v>0</v>
      </c>
      <c r="V29" s="61">
        <f>+IF(ISERROR((POWER(POWER(1+$C$5,1/12),$B29-11)-1)*$C$28),0,((POWER(POWER(1+$C$5,1/12),$B29-11)-1)*$C$28))</f>
        <v>0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N29" s="62"/>
      <c r="AO29" s="119"/>
      <c r="AP29" s="119"/>
      <c r="AQ29" s="119"/>
      <c r="AS29" s="89"/>
      <c r="AV29" s="92"/>
      <c r="AW29" s="55"/>
      <c r="AX29" s="55"/>
      <c r="AY29" s="55"/>
    </row>
    <row r="30" spans="1:51" ht="13.5">
      <c r="A30" s="11"/>
      <c r="B30" s="63">
        <f t="shared" si="2"/>
        <v>14</v>
      </c>
      <c r="C30" s="64"/>
      <c r="D30" s="65">
        <f>+SUM($C$17:C30)</f>
        <v>600</v>
      </c>
      <c r="E30" s="65">
        <f t="shared" si="6"/>
        <v>32.570183665465805</v>
      </c>
      <c r="F30" s="120">
        <f t="shared" si="0"/>
        <v>0</v>
      </c>
      <c r="G30" s="65">
        <f t="shared" si="3"/>
        <v>200</v>
      </c>
      <c r="H30" s="65">
        <f t="shared" si="4"/>
        <v>10.856727888488601</v>
      </c>
      <c r="I30" s="60">
        <f>(SUM($F$17:F30)+H29)*(((1+$C$5)^(1/12))-1)</f>
        <v>0.8555707090583928</v>
      </c>
      <c r="J30" s="61">
        <f t="shared" si="1"/>
        <v>0</v>
      </c>
      <c r="K30" s="61">
        <f t="shared" si="5"/>
        <v>11.714617670899363</v>
      </c>
      <c r="L30" s="61">
        <f t="shared" si="7"/>
        <v>10.855565994566296</v>
      </c>
      <c r="M30" s="61">
        <f t="shared" si="8"/>
        <v>10.000000000000142</v>
      </c>
      <c r="N30" s="61">
        <f t="shared" si="9"/>
        <v>0</v>
      </c>
      <c r="O30" s="61">
        <f t="shared" si="10"/>
        <v>0</v>
      </c>
      <c r="P30" s="61">
        <f t="shared" si="11"/>
        <v>0</v>
      </c>
      <c r="Q30" s="61">
        <f t="shared" si="12"/>
        <v>0</v>
      </c>
      <c r="R30" s="61">
        <f t="shared" si="13"/>
        <v>0</v>
      </c>
      <c r="S30" s="61">
        <f t="shared" si="14"/>
        <v>0</v>
      </c>
      <c r="T30" s="61">
        <f t="shared" si="15"/>
        <v>0</v>
      </c>
      <c r="U30" s="61">
        <f t="shared" si="16"/>
        <v>0</v>
      </c>
      <c r="V30" s="61">
        <f aca="true" t="shared" si="17" ref="V30:V52">+IF(ISERROR((POWER(POWER(1+$C$5,1/12),$B30-11)-1)*$C$28),0,((POWER(POWER(1+$C$5,1/12),$B30-11)-1)*$C$28))</f>
        <v>0</v>
      </c>
      <c r="W30" s="61">
        <f>+IF(ISERROR((POWER(POWER(1+$C$5,1/12),$B30-12)-1)*$C$29),0,((POWER(POWER(1+$C$5,1/12),$B30-12)-1)*$C$29))</f>
        <v>0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N30" s="62"/>
      <c r="AO30" s="119"/>
      <c r="AP30" s="119"/>
      <c r="AQ30" s="119"/>
      <c r="AS30" s="89"/>
      <c r="AV30" s="92"/>
      <c r="AW30" s="55"/>
      <c r="AX30" s="55"/>
      <c r="AY30" s="55"/>
    </row>
    <row r="31" spans="1:51" ht="13.5">
      <c r="A31" s="11"/>
      <c r="B31" s="63">
        <f t="shared" si="2"/>
        <v>15</v>
      </c>
      <c r="C31" s="64"/>
      <c r="D31" s="65">
        <f>+SUM($C$17:C31)</f>
        <v>600</v>
      </c>
      <c r="E31" s="65">
        <f t="shared" si="6"/>
        <v>35.147352895564055</v>
      </c>
      <c r="F31" s="120">
        <f t="shared" si="0"/>
        <v>0</v>
      </c>
      <c r="G31" s="65">
        <f t="shared" si="3"/>
        <v>200</v>
      </c>
      <c r="H31" s="65">
        <f t="shared" si="4"/>
        <v>11.715784298521362</v>
      </c>
      <c r="I31" s="60">
        <f>(SUM($F$17:F31)+H30)*(((1+$C$5)^(1/12))-1)</f>
        <v>0.8590564100327605</v>
      </c>
      <c r="J31" s="61">
        <f t="shared" si="1"/>
        <v>0</v>
      </c>
      <c r="K31" s="61">
        <f t="shared" si="5"/>
        <v>12.577169230098395</v>
      </c>
      <c r="L31" s="61">
        <f t="shared" si="7"/>
        <v>11.714617670899363</v>
      </c>
      <c r="M31" s="61">
        <f t="shared" si="8"/>
        <v>10.855565994566296</v>
      </c>
      <c r="N31" s="61">
        <f t="shared" si="9"/>
        <v>0</v>
      </c>
      <c r="O31" s="61">
        <f t="shared" si="10"/>
        <v>0</v>
      </c>
      <c r="P31" s="61">
        <f t="shared" si="11"/>
        <v>0</v>
      </c>
      <c r="Q31" s="61">
        <f t="shared" si="12"/>
        <v>0</v>
      </c>
      <c r="R31" s="61">
        <f t="shared" si="13"/>
        <v>0</v>
      </c>
      <c r="S31" s="61">
        <f t="shared" si="14"/>
        <v>0</v>
      </c>
      <c r="T31" s="61">
        <f t="shared" si="15"/>
        <v>0</v>
      </c>
      <c r="U31" s="61">
        <f t="shared" si="16"/>
        <v>0</v>
      </c>
      <c r="V31" s="61">
        <f t="shared" si="17"/>
        <v>0</v>
      </c>
      <c r="W31" s="61">
        <f aca="true" t="shared" si="18" ref="W31:W52">+IF(ISERROR((POWER(POWER(1+$C$5,1/12),$B31-12)-1)*$C$29),0,((POWER(POWER(1+$C$5,1/12),$B31-12)-1)*$C$29))</f>
        <v>0</v>
      </c>
      <c r="X31" s="61">
        <f>+IF(ISERROR((POWER(POWER(1+$C$5,1/12),$B31-13)-1)*$C$30),0,((POWER(POWER(1+$C$5,1/12),$B31-13)-1)*$C$30))</f>
        <v>0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N31" s="62"/>
      <c r="AO31" s="119"/>
      <c r="AP31" s="119"/>
      <c r="AQ31" s="119"/>
      <c r="AS31" s="89"/>
      <c r="AV31" s="92"/>
      <c r="AW31" s="55"/>
      <c r="AX31" s="55"/>
      <c r="AY31" s="55"/>
    </row>
    <row r="32" spans="1:51" ht="13.5">
      <c r="A32" s="11"/>
      <c r="B32" s="63">
        <f t="shared" si="2"/>
        <v>16</v>
      </c>
      <c r="C32" s="64"/>
      <c r="D32" s="65">
        <f>+SUM($C$17:C32)</f>
        <v>600</v>
      </c>
      <c r="E32" s="65">
        <f t="shared" si="6"/>
        <v>37.73502183211716</v>
      </c>
      <c r="F32" s="120">
        <f t="shared" si="0"/>
        <v>0</v>
      </c>
      <c r="G32" s="65">
        <f t="shared" si="3"/>
        <v>200</v>
      </c>
      <c r="H32" s="65">
        <f t="shared" si="4"/>
        <v>12.578340610705732</v>
      </c>
      <c r="I32" s="60">
        <f>(SUM($F$17:F32)+H31)*(((1+$C$5)^(1/12))-1)</f>
        <v>0.8625563121843705</v>
      </c>
      <c r="J32" s="61">
        <f t="shared" si="1"/>
        <v>0</v>
      </c>
      <c r="K32" s="61">
        <f t="shared" si="5"/>
        <v>13.443234931119408</v>
      </c>
      <c r="L32" s="61">
        <f t="shared" si="7"/>
        <v>12.577169230098395</v>
      </c>
      <c r="M32" s="61">
        <f t="shared" si="8"/>
        <v>11.714617670899363</v>
      </c>
      <c r="N32" s="61">
        <f t="shared" si="9"/>
        <v>0</v>
      </c>
      <c r="O32" s="61">
        <f t="shared" si="10"/>
        <v>0</v>
      </c>
      <c r="P32" s="61">
        <f t="shared" si="11"/>
        <v>0</v>
      </c>
      <c r="Q32" s="61">
        <f t="shared" si="12"/>
        <v>0</v>
      </c>
      <c r="R32" s="61">
        <f t="shared" si="13"/>
        <v>0</v>
      </c>
      <c r="S32" s="61">
        <f t="shared" si="14"/>
        <v>0</v>
      </c>
      <c r="T32" s="61">
        <f t="shared" si="15"/>
        <v>0</v>
      </c>
      <c r="U32" s="61">
        <f t="shared" si="16"/>
        <v>0</v>
      </c>
      <c r="V32" s="61">
        <f t="shared" si="17"/>
        <v>0</v>
      </c>
      <c r="W32" s="61">
        <f t="shared" si="18"/>
        <v>0</v>
      </c>
      <c r="X32" s="61">
        <f aca="true" t="shared" si="19" ref="X32:X52">+IF(ISERROR((POWER(POWER(1+$C$5,1/12),$B32-13)-1)*$C$30),0,((POWER(POWER(1+$C$5,1/12),$B32-13)-1)*$C$30))</f>
        <v>0</v>
      </c>
      <c r="Y32" s="61">
        <f>+IF(ISERROR((POWER(POWER(1+$C$5,1/12),$B32-14)-1)*$C$31),0,((POWER(POWER(1+$C$5,1/12),$B32-14)-1)*$C$31))</f>
        <v>0</v>
      </c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N32" s="62"/>
      <c r="AO32" s="62"/>
      <c r="AP32" s="62"/>
      <c r="AQ32" s="62"/>
      <c r="AS32" s="89"/>
      <c r="AT32" s="89"/>
      <c r="AU32" s="89"/>
      <c r="AV32" s="11"/>
      <c r="AW32" s="11"/>
      <c r="AX32" s="11"/>
      <c r="AY32" s="11"/>
    </row>
    <row r="33" spans="1:51" ht="13.5">
      <c r="A33" s="11"/>
      <c r="B33" s="63">
        <f t="shared" si="2"/>
        <v>17</v>
      </c>
      <c r="C33" s="64"/>
      <c r="D33" s="65">
        <f>+SUM($C$17:C33)</f>
        <v>600</v>
      </c>
      <c r="E33" s="65">
        <f t="shared" si="6"/>
        <v>40.33323325222891</v>
      </c>
      <c r="F33" s="120">
        <f t="shared" si="0"/>
        <v>0</v>
      </c>
      <c r="G33" s="65">
        <f t="shared" si="3"/>
        <v>200</v>
      </c>
      <c r="H33" s="65">
        <f t="shared" si="4"/>
        <v>13.44441108407631</v>
      </c>
      <c r="I33" s="60">
        <f>(SUM($F$17:F33)+H32)*(((1+$C$5)^(1/12))-1)</f>
        <v>0.8660704733705769</v>
      </c>
      <c r="J33" s="61">
        <f t="shared" si="1"/>
        <v>0</v>
      </c>
      <c r="K33" s="61">
        <f t="shared" si="5"/>
        <v>14.312829091011103</v>
      </c>
      <c r="L33" s="61">
        <f t="shared" si="7"/>
        <v>13.443234931119408</v>
      </c>
      <c r="M33" s="61">
        <f t="shared" si="8"/>
        <v>12.577169230098395</v>
      </c>
      <c r="N33" s="61">
        <f t="shared" si="9"/>
        <v>0</v>
      </c>
      <c r="O33" s="61">
        <f t="shared" si="10"/>
        <v>0</v>
      </c>
      <c r="P33" s="61">
        <f t="shared" si="11"/>
        <v>0</v>
      </c>
      <c r="Q33" s="61">
        <f t="shared" si="12"/>
        <v>0</v>
      </c>
      <c r="R33" s="61">
        <f t="shared" si="13"/>
        <v>0</v>
      </c>
      <c r="S33" s="61">
        <f t="shared" si="14"/>
        <v>0</v>
      </c>
      <c r="T33" s="61">
        <f t="shared" si="15"/>
        <v>0</v>
      </c>
      <c r="U33" s="61">
        <f t="shared" si="16"/>
        <v>0</v>
      </c>
      <c r="V33" s="61">
        <f t="shared" si="17"/>
        <v>0</v>
      </c>
      <c r="W33" s="61">
        <f t="shared" si="18"/>
        <v>0</v>
      </c>
      <c r="X33" s="61">
        <f t="shared" si="19"/>
        <v>0</v>
      </c>
      <c r="Y33" s="61">
        <f aca="true" t="shared" si="20" ref="Y33:Y52">+IF(ISERROR((POWER(POWER(1+$C$5,1/12),$B33-14)-1)*$C$31),0,((POWER(POWER(1+$C$5,1/12),$B33-14)-1)*$C$31))</f>
        <v>0</v>
      </c>
      <c r="Z33" s="61">
        <f>+IF(ISERROR((POWER(POWER(1+$C$5,1/12),$B33-15)-1)*$C$32),0,((POWER(POWER(1+$C$5,1/12),$B33-15)-1)*$C$32))</f>
        <v>0</v>
      </c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N33" s="62"/>
      <c r="AO33" s="62"/>
      <c r="AP33" s="62"/>
      <c r="AQ33" s="62"/>
      <c r="AS33" s="89"/>
      <c r="AT33" s="89"/>
      <c r="AU33" s="89"/>
      <c r="AV33" s="11"/>
      <c r="AW33" s="11"/>
      <c r="AX33" s="11"/>
      <c r="AY33" s="11"/>
    </row>
    <row r="34" spans="1:51" ht="13.5">
      <c r="A34" s="11"/>
      <c r="B34" s="63">
        <f t="shared" si="2"/>
        <v>18</v>
      </c>
      <c r="C34" s="64"/>
      <c r="D34" s="65">
        <f>+SUM($C$17:C34)</f>
        <v>600</v>
      </c>
      <c r="E34" s="65">
        <f t="shared" si="6"/>
        <v>42.94203010728226</v>
      </c>
      <c r="F34" s="120">
        <f t="shared" si="0"/>
        <v>0</v>
      </c>
      <c r="G34" s="65">
        <f t="shared" si="3"/>
        <v>200</v>
      </c>
      <c r="H34" s="65">
        <f t="shared" si="4"/>
        <v>14.314010035760761</v>
      </c>
      <c r="I34" s="60">
        <f>(SUM($F$17:F34)+H33)*(((1+$C$5)^(1/12))-1)</f>
        <v>0.8695989516844516</v>
      </c>
      <c r="J34" s="61">
        <f t="shared" si="1"/>
        <v>0</v>
      </c>
      <c r="K34" s="61">
        <f t="shared" si="5"/>
        <v>15.185966085151748</v>
      </c>
      <c r="L34" s="61">
        <f t="shared" si="7"/>
        <v>14.312829091011103</v>
      </c>
      <c r="M34" s="61">
        <f t="shared" si="8"/>
        <v>13.443234931119408</v>
      </c>
      <c r="N34" s="61">
        <f t="shared" si="9"/>
        <v>0</v>
      </c>
      <c r="O34" s="61">
        <f t="shared" si="10"/>
        <v>0</v>
      </c>
      <c r="P34" s="61">
        <f t="shared" si="11"/>
        <v>0</v>
      </c>
      <c r="Q34" s="61">
        <f t="shared" si="12"/>
        <v>0</v>
      </c>
      <c r="R34" s="61">
        <f t="shared" si="13"/>
        <v>0</v>
      </c>
      <c r="S34" s="61">
        <f t="shared" si="14"/>
        <v>0</v>
      </c>
      <c r="T34" s="61">
        <f t="shared" si="15"/>
        <v>0</v>
      </c>
      <c r="U34" s="61">
        <f t="shared" si="16"/>
        <v>0</v>
      </c>
      <c r="V34" s="61">
        <f t="shared" si="17"/>
        <v>0</v>
      </c>
      <c r="W34" s="61">
        <f t="shared" si="18"/>
        <v>0</v>
      </c>
      <c r="X34" s="61">
        <f t="shared" si="19"/>
        <v>0</v>
      </c>
      <c r="Y34" s="61">
        <f t="shared" si="20"/>
        <v>0</v>
      </c>
      <c r="Z34" s="61">
        <f aca="true" t="shared" si="21" ref="Z34:Z52">+IF(ISERROR((POWER(POWER(1+$C$5,1/12),$B34-15)-1)*$C$32),0,((POWER(POWER(1+$C$5,1/12),$B34-15)-1)*$C$32))</f>
        <v>0</v>
      </c>
      <c r="AA34" s="61">
        <f>+IF(ISERROR((POWER(POWER(1+$C$5,1/12),$B34-16)-1)*$C$33),0,((POWER(POWER(1+$C$5,1/12),$B34-16)-1)*$C$33))</f>
        <v>0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N34" s="62"/>
      <c r="AO34" s="62"/>
      <c r="AP34" s="62"/>
      <c r="AQ34" s="62"/>
      <c r="AV34" s="11"/>
      <c r="AW34" s="11"/>
      <c r="AX34" s="11"/>
      <c r="AY34" s="11"/>
    </row>
    <row r="35" spans="1:51" ht="13.5">
      <c r="A35" s="11"/>
      <c r="B35" s="63">
        <f t="shared" si="2"/>
        <v>19</v>
      </c>
      <c r="C35" s="64"/>
      <c r="D35" s="65">
        <f>+SUM($C$17:C35)</f>
        <v>600</v>
      </c>
      <c r="E35" s="65">
        <f t="shared" si="6"/>
        <v>45.56145552364947</v>
      </c>
      <c r="F35" s="120">
        <f t="shared" si="0"/>
        <v>0</v>
      </c>
      <c r="G35" s="65">
        <f t="shared" si="3"/>
        <v>200</v>
      </c>
      <c r="H35" s="65">
        <f t="shared" si="4"/>
        <v>15.187151841216506</v>
      </c>
      <c r="I35" s="60">
        <f>(SUM($F$17:F35)+H34)*(((1+$C$5)^(1/12))-1)</f>
        <v>0.8731418054557448</v>
      </c>
      <c r="J35" s="61">
        <f t="shared" si="1"/>
        <v>0</v>
      </c>
      <c r="K35" s="61">
        <f t="shared" si="5"/>
        <v>16.062660347486624</v>
      </c>
      <c r="L35" s="61">
        <f t="shared" si="7"/>
        <v>15.185966085151748</v>
      </c>
      <c r="M35" s="61">
        <f t="shared" si="8"/>
        <v>14.312829091011103</v>
      </c>
      <c r="N35" s="61">
        <f t="shared" si="9"/>
        <v>0</v>
      </c>
      <c r="O35" s="61">
        <f t="shared" si="10"/>
        <v>0</v>
      </c>
      <c r="P35" s="61">
        <f t="shared" si="11"/>
        <v>0</v>
      </c>
      <c r="Q35" s="61">
        <f t="shared" si="12"/>
        <v>0</v>
      </c>
      <c r="R35" s="61">
        <f t="shared" si="13"/>
        <v>0</v>
      </c>
      <c r="S35" s="61">
        <f t="shared" si="14"/>
        <v>0</v>
      </c>
      <c r="T35" s="61">
        <f t="shared" si="15"/>
        <v>0</v>
      </c>
      <c r="U35" s="61">
        <f t="shared" si="16"/>
        <v>0</v>
      </c>
      <c r="V35" s="61">
        <f t="shared" si="17"/>
        <v>0</v>
      </c>
      <c r="W35" s="61">
        <f t="shared" si="18"/>
        <v>0</v>
      </c>
      <c r="X35" s="61">
        <f t="shared" si="19"/>
        <v>0</v>
      </c>
      <c r="Y35" s="61">
        <f t="shared" si="20"/>
        <v>0</v>
      </c>
      <c r="Z35" s="61">
        <f t="shared" si="21"/>
        <v>0</v>
      </c>
      <c r="AA35" s="61">
        <f aca="true" t="shared" si="22" ref="AA35:AA52">+IF(ISERROR((POWER(POWER(1+$C$5,1/12),$B35-16)-1)*$C$33),0,((POWER(POWER(1+$C$5,1/12),$B35-16)-1)*$C$33))</f>
        <v>0</v>
      </c>
      <c r="AB35" s="61">
        <f>+IF(ISERROR((POWER(POWER(1+$C$5,1/12),$B35-17)-1)*$C$34),0,((POWER(POWER(1+$C$5,1/12),$B35-17)-1)*$C$34))</f>
        <v>0</v>
      </c>
      <c r="AC35" s="62"/>
      <c r="AD35" s="62"/>
      <c r="AE35" s="62"/>
      <c r="AF35" s="62"/>
      <c r="AG35" s="62"/>
      <c r="AH35" s="62"/>
      <c r="AI35" s="62"/>
      <c r="AJ35" s="62"/>
      <c r="AK35" s="62"/>
      <c r="AN35" s="62"/>
      <c r="AO35" s="62"/>
      <c r="AP35" s="62"/>
      <c r="AQ35" s="62"/>
      <c r="AV35" s="11"/>
      <c r="AW35" s="11"/>
      <c r="AX35" s="11"/>
      <c r="AY35" s="11"/>
    </row>
    <row r="36" spans="1:51" ht="13.5">
      <c r="A36" s="11"/>
      <c r="B36" s="63">
        <f>+B35+1</f>
        <v>20</v>
      </c>
      <c r="C36" s="64"/>
      <c r="D36" s="65">
        <f>+SUM($C$17:C36)</f>
        <v>600</v>
      </c>
      <c r="E36" s="65">
        <f t="shared" si="6"/>
        <v>48.19155280340502</v>
      </c>
      <c r="F36" s="120">
        <f t="shared" si="0"/>
        <v>0</v>
      </c>
      <c r="G36" s="65">
        <f t="shared" si="3"/>
        <v>200</v>
      </c>
      <c r="H36" s="65">
        <f t="shared" si="4"/>
        <v>16.063850934468356</v>
      </c>
      <c r="I36" s="60">
        <f>(SUM($F$17:F36)+H35)*(((1+$C$5)^(1/12))-1)</f>
        <v>0.8766990932518498</v>
      </c>
      <c r="J36" s="61">
        <f t="shared" si="1"/>
        <v>0</v>
      </c>
      <c r="K36" s="61">
        <f t="shared" si="5"/>
        <v>16.942926370766642</v>
      </c>
      <c r="L36" s="61">
        <f t="shared" si="7"/>
        <v>16.062660347486624</v>
      </c>
      <c r="M36" s="61">
        <f t="shared" si="8"/>
        <v>15.185966085151748</v>
      </c>
      <c r="N36" s="61">
        <f t="shared" si="9"/>
        <v>0</v>
      </c>
      <c r="O36" s="61">
        <f t="shared" si="10"/>
        <v>0</v>
      </c>
      <c r="P36" s="61">
        <f t="shared" si="11"/>
        <v>0</v>
      </c>
      <c r="Q36" s="61">
        <f t="shared" si="12"/>
        <v>0</v>
      </c>
      <c r="R36" s="61">
        <f t="shared" si="13"/>
        <v>0</v>
      </c>
      <c r="S36" s="61">
        <f t="shared" si="14"/>
        <v>0</v>
      </c>
      <c r="T36" s="61">
        <f t="shared" si="15"/>
        <v>0</v>
      </c>
      <c r="U36" s="61">
        <f t="shared" si="16"/>
        <v>0</v>
      </c>
      <c r="V36" s="61">
        <f t="shared" si="17"/>
        <v>0</v>
      </c>
      <c r="W36" s="61">
        <f t="shared" si="18"/>
        <v>0</v>
      </c>
      <c r="X36" s="61">
        <f t="shared" si="19"/>
        <v>0</v>
      </c>
      <c r="Y36" s="61">
        <f t="shared" si="20"/>
        <v>0</v>
      </c>
      <c r="Z36" s="61">
        <f t="shared" si="21"/>
        <v>0</v>
      </c>
      <c r="AA36" s="61">
        <f t="shared" si="22"/>
        <v>0</v>
      </c>
      <c r="AB36" s="61">
        <f aca="true" t="shared" si="23" ref="AB36:AB52">+IF(ISERROR((POWER(POWER(1+$C$5,1/12),$B36-17)-1)*$C$34),0,((POWER(POWER(1+$C$5,1/12),$B36-17)-1)*$C$34))</f>
        <v>0</v>
      </c>
      <c r="AC36" s="61">
        <f>+IF(ISERROR((POWER(POWER(1+$C$5,1/12),$B36-18)-1)*$C$35),0,((POWER(POWER(1+$C$5,1/12),$B36-18)-1)*$C$35))</f>
        <v>0</v>
      </c>
      <c r="AD36" s="62"/>
      <c r="AE36" s="62"/>
      <c r="AF36" s="62"/>
      <c r="AG36" s="62"/>
      <c r="AH36" s="62"/>
      <c r="AI36" s="62"/>
      <c r="AJ36" s="62"/>
      <c r="AK36" s="62"/>
      <c r="AN36" s="62"/>
      <c r="AO36" s="62"/>
      <c r="AP36" s="62"/>
      <c r="AQ36" s="62"/>
      <c r="AV36" s="11"/>
      <c r="AW36" s="11"/>
      <c r="AX36" s="11"/>
      <c r="AY36" s="11"/>
    </row>
    <row r="37" spans="1:51" ht="13.5">
      <c r="A37" s="11"/>
      <c r="B37" s="63">
        <f t="shared" si="2"/>
        <v>21</v>
      </c>
      <c r="C37" s="64"/>
      <c r="D37" s="65">
        <f>+SUM($C$17:C37)</f>
        <v>600</v>
      </c>
      <c r="E37" s="65">
        <f t="shared" si="6"/>
        <v>50.83236542504133</v>
      </c>
      <c r="F37" s="120">
        <f t="shared" si="0"/>
        <v>0</v>
      </c>
      <c r="G37" s="65">
        <f t="shared" si="3"/>
        <v>200</v>
      </c>
      <c r="H37" s="65">
        <f t="shared" si="4"/>
        <v>16.944121808347127</v>
      </c>
      <c r="I37" s="60">
        <f>(SUM($F$17:F37)+H36)*(((1+$C$5)^(1/12))-1)</f>
        <v>0.88027087387877</v>
      </c>
      <c r="J37" s="61">
        <f t="shared" si="1"/>
        <v>0</v>
      </c>
      <c r="K37" s="61">
        <f t="shared" si="5"/>
        <v>17.826778706788062</v>
      </c>
      <c r="L37" s="61">
        <f t="shared" si="7"/>
        <v>16.942926370766642</v>
      </c>
      <c r="M37" s="61">
        <f t="shared" si="8"/>
        <v>16.062660347486624</v>
      </c>
      <c r="N37" s="61">
        <f t="shared" si="9"/>
        <v>0</v>
      </c>
      <c r="O37" s="61">
        <f t="shared" si="10"/>
        <v>0</v>
      </c>
      <c r="P37" s="61">
        <f t="shared" si="11"/>
        <v>0</v>
      </c>
      <c r="Q37" s="61">
        <f t="shared" si="12"/>
        <v>0</v>
      </c>
      <c r="R37" s="61">
        <f t="shared" si="13"/>
        <v>0</v>
      </c>
      <c r="S37" s="61">
        <f t="shared" si="14"/>
        <v>0</v>
      </c>
      <c r="T37" s="61">
        <f t="shared" si="15"/>
        <v>0</v>
      </c>
      <c r="U37" s="61">
        <f t="shared" si="16"/>
        <v>0</v>
      </c>
      <c r="V37" s="61">
        <f t="shared" si="17"/>
        <v>0</v>
      </c>
      <c r="W37" s="61">
        <f t="shared" si="18"/>
        <v>0</v>
      </c>
      <c r="X37" s="61">
        <f t="shared" si="19"/>
        <v>0</v>
      </c>
      <c r="Y37" s="61">
        <f t="shared" si="20"/>
        <v>0</v>
      </c>
      <c r="Z37" s="61">
        <f t="shared" si="21"/>
        <v>0</v>
      </c>
      <c r="AA37" s="61">
        <f t="shared" si="22"/>
        <v>0</v>
      </c>
      <c r="AB37" s="61">
        <f t="shared" si="23"/>
        <v>0</v>
      </c>
      <c r="AC37" s="61">
        <f aca="true" t="shared" si="24" ref="AC37:AC52">+IF(ISERROR((POWER(POWER(1+$C$5,1/12),$B37-18)-1)*$C$35),0,((POWER(POWER(1+$C$5,1/12),$B37-18)-1)*$C$35))</f>
        <v>0</v>
      </c>
      <c r="AD37" s="61">
        <f>+IF(ISERROR((POWER(POWER(1+$C$5,1/12),$B37-19)-1)*$C$36),0,((POWER(POWER(1+$C$5,1/12),$B37-19)-1)*$C$36))</f>
        <v>0</v>
      </c>
      <c r="AE37" s="62"/>
      <c r="AF37" s="62"/>
      <c r="AG37" s="62"/>
      <c r="AH37" s="62"/>
      <c r="AI37" s="62"/>
      <c r="AJ37" s="62"/>
      <c r="AK37" s="62"/>
      <c r="AN37" s="62"/>
      <c r="AO37" s="62"/>
      <c r="AP37" s="62"/>
      <c r="AQ37" s="62"/>
      <c r="AV37" s="11"/>
      <c r="AW37" s="11"/>
      <c r="AX37" s="11"/>
      <c r="AY37" s="11"/>
    </row>
    <row r="38" spans="1:51" ht="13.5">
      <c r="A38" s="11"/>
      <c r="B38" s="63">
        <f t="shared" si="2"/>
        <v>22</v>
      </c>
      <c r="C38" s="64"/>
      <c r="D38" s="65">
        <f>+SUM($C$17:C38)</f>
        <v>600</v>
      </c>
      <c r="E38" s="65">
        <f t="shared" si="6"/>
        <v>53.48393704418761</v>
      </c>
      <c r="F38" s="120">
        <f t="shared" si="0"/>
        <v>0</v>
      </c>
      <c r="G38" s="65">
        <f t="shared" si="3"/>
        <v>200</v>
      </c>
      <c r="H38" s="65">
        <f t="shared" si="4"/>
        <v>17.82797901472922</v>
      </c>
      <c r="I38" s="60">
        <f>(SUM($F$17:F38)+H37)*(((1+$C$5)^(1/12))-1)</f>
        <v>0.8838572063820924</v>
      </c>
      <c r="J38" s="61">
        <f t="shared" si="1"/>
        <v>0</v>
      </c>
      <c r="K38" s="61">
        <f t="shared" si="5"/>
        <v>18.71423196663291</v>
      </c>
      <c r="L38" s="61">
        <f t="shared" si="7"/>
        <v>17.826778706788062</v>
      </c>
      <c r="M38" s="61">
        <f t="shared" si="8"/>
        <v>16.942926370766642</v>
      </c>
      <c r="N38" s="61">
        <f t="shared" si="9"/>
        <v>0</v>
      </c>
      <c r="O38" s="61">
        <f t="shared" si="10"/>
        <v>0</v>
      </c>
      <c r="P38" s="61">
        <f t="shared" si="11"/>
        <v>0</v>
      </c>
      <c r="Q38" s="61">
        <f t="shared" si="12"/>
        <v>0</v>
      </c>
      <c r="R38" s="61">
        <f t="shared" si="13"/>
        <v>0</v>
      </c>
      <c r="S38" s="61">
        <f t="shared" si="14"/>
        <v>0</v>
      </c>
      <c r="T38" s="61">
        <f t="shared" si="15"/>
        <v>0</v>
      </c>
      <c r="U38" s="61">
        <f t="shared" si="16"/>
        <v>0</v>
      </c>
      <c r="V38" s="61">
        <f t="shared" si="17"/>
        <v>0</v>
      </c>
      <c r="W38" s="61">
        <f t="shared" si="18"/>
        <v>0</v>
      </c>
      <c r="X38" s="61">
        <f t="shared" si="19"/>
        <v>0</v>
      </c>
      <c r="Y38" s="61">
        <f t="shared" si="20"/>
        <v>0</v>
      </c>
      <c r="Z38" s="61">
        <f t="shared" si="21"/>
        <v>0</v>
      </c>
      <c r="AA38" s="61">
        <f t="shared" si="22"/>
        <v>0</v>
      </c>
      <c r="AB38" s="61">
        <f t="shared" si="23"/>
        <v>0</v>
      </c>
      <c r="AC38" s="61">
        <f t="shared" si="24"/>
        <v>0</v>
      </c>
      <c r="AD38" s="61">
        <f aca="true" t="shared" si="25" ref="AD38:AD52">+IF(ISERROR((POWER(POWER(1+$C$5,1/12),$B38-19)-1)*$C$36),0,((POWER(POWER(1+$C$5,1/12),$B38-19)-1)*$C$36))</f>
        <v>0</v>
      </c>
      <c r="AE38" s="61">
        <f>+IF(ISERROR((POWER(POWER(1+$C$5,1/12),$B38-20)-1)*$C$37),0,((POWER(POWER(1+$C$5,1/12),$B38-20)-1)*$C$37))</f>
        <v>0</v>
      </c>
      <c r="AF38" s="62"/>
      <c r="AG38" s="62"/>
      <c r="AH38" s="62"/>
      <c r="AI38" s="62"/>
      <c r="AJ38" s="62"/>
      <c r="AK38" s="62"/>
      <c r="AN38" s="62"/>
      <c r="AO38" s="62"/>
      <c r="AP38" s="62"/>
      <c r="AQ38" s="62"/>
      <c r="AV38" s="11"/>
      <c r="AW38" s="11"/>
      <c r="AX38" s="11"/>
      <c r="AY38" s="11"/>
    </row>
    <row r="39" spans="1:51" ht="13.5">
      <c r="A39" s="11"/>
      <c r="B39" s="63">
        <f t="shared" si="2"/>
        <v>23</v>
      </c>
      <c r="C39" s="64"/>
      <c r="D39" s="65">
        <f>+SUM($C$17:C39)</f>
        <v>600</v>
      </c>
      <c r="E39" s="65">
        <f t="shared" si="6"/>
        <v>56.14631149433151</v>
      </c>
      <c r="F39" s="120">
        <f t="shared" si="0"/>
        <v>0</v>
      </c>
      <c r="G39" s="65">
        <f t="shared" si="3"/>
        <v>200</v>
      </c>
      <c r="H39" s="65">
        <f t="shared" si="4"/>
        <v>18.715437164777182</v>
      </c>
      <c r="I39" s="60">
        <f>(SUM($F$17:F39)+H38)*(((1+$C$5)^(1/12))-1)</f>
        <v>0.8874581500479627</v>
      </c>
      <c r="J39" s="61">
        <f t="shared" si="1"/>
        <v>0</v>
      </c>
      <c r="K39" s="61">
        <f t="shared" si="5"/>
        <v>19.605300820910543</v>
      </c>
      <c r="L39" s="61">
        <f t="shared" si="7"/>
        <v>18.71423196663291</v>
      </c>
      <c r="M39" s="61">
        <f t="shared" si="8"/>
        <v>17.826778706788062</v>
      </c>
      <c r="N39" s="61">
        <f t="shared" si="9"/>
        <v>0</v>
      </c>
      <c r="O39" s="61">
        <f t="shared" si="10"/>
        <v>0</v>
      </c>
      <c r="P39" s="61">
        <f t="shared" si="11"/>
        <v>0</v>
      </c>
      <c r="Q39" s="61">
        <f t="shared" si="12"/>
        <v>0</v>
      </c>
      <c r="R39" s="61">
        <f t="shared" si="13"/>
        <v>0</v>
      </c>
      <c r="S39" s="61">
        <f t="shared" si="14"/>
        <v>0</v>
      </c>
      <c r="T39" s="61">
        <f t="shared" si="15"/>
        <v>0</v>
      </c>
      <c r="U39" s="61">
        <f t="shared" si="16"/>
        <v>0</v>
      </c>
      <c r="V39" s="61">
        <f t="shared" si="17"/>
        <v>0</v>
      </c>
      <c r="W39" s="61">
        <f t="shared" si="18"/>
        <v>0</v>
      </c>
      <c r="X39" s="61">
        <f t="shared" si="19"/>
        <v>0</v>
      </c>
      <c r="Y39" s="61">
        <f t="shared" si="20"/>
        <v>0</v>
      </c>
      <c r="Z39" s="61">
        <f t="shared" si="21"/>
        <v>0</v>
      </c>
      <c r="AA39" s="61">
        <f t="shared" si="22"/>
        <v>0</v>
      </c>
      <c r="AB39" s="61">
        <f t="shared" si="23"/>
        <v>0</v>
      </c>
      <c r="AC39" s="61">
        <f t="shared" si="24"/>
        <v>0</v>
      </c>
      <c r="AD39" s="61">
        <f t="shared" si="25"/>
        <v>0</v>
      </c>
      <c r="AE39" s="61">
        <f aca="true" t="shared" si="26" ref="AE39:AE52">+IF(ISERROR((POWER(POWER(1+$C$5,1/12),$B39-20)-1)*$C$37),0,((POWER(POWER(1+$C$5,1/12),$B39-20)-1)*$C$37))</f>
        <v>0</v>
      </c>
      <c r="AF39" s="61">
        <f>+IF(ISERROR((POWER(POWER(1+$C$5,1/12),$B39-21)-1)*$C$38),0,((POWER(POWER(1+$C$5,1/12),$B39-21)-1)*$C$38))</f>
        <v>0</v>
      </c>
      <c r="AG39" s="62"/>
      <c r="AH39" s="62"/>
      <c r="AI39" s="62"/>
      <c r="AJ39" s="62"/>
      <c r="AK39" s="62"/>
      <c r="AN39" s="62"/>
      <c r="AO39" s="62"/>
      <c r="AP39" s="62"/>
      <c r="AQ39" s="62"/>
      <c r="AV39" s="11"/>
      <c r="AW39" s="11"/>
      <c r="AX39" s="11"/>
      <c r="AY39" s="11"/>
    </row>
    <row r="40" spans="1:51" ht="13.5">
      <c r="A40" s="11"/>
      <c r="B40" s="63">
        <f>+B39+1</f>
        <v>24</v>
      </c>
      <c r="C40" s="64"/>
      <c r="D40" s="65">
        <f>+SUM($C$17:C40)</f>
        <v>600</v>
      </c>
      <c r="E40" s="65">
        <f t="shared" si="6"/>
        <v>58.81953278754372</v>
      </c>
      <c r="F40" s="120">
        <f t="shared" si="0"/>
        <v>0</v>
      </c>
      <c r="G40" s="65">
        <f t="shared" si="3"/>
        <v>200</v>
      </c>
      <c r="H40" s="65">
        <f t="shared" si="4"/>
        <v>19.606510929181248</v>
      </c>
      <c r="I40" s="60">
        <f>(SUM($F$17:F40)+H39)*(((1+$C$5)^(1/12))-1)</f>
        <v>0.8910737644040657</v>
      </c>
      <c r="J40" s="61">
        <f t="shared" si="1"/>
        <v>0</v>
      </c>
      <c r="K40" s="61">
        <f t="shared" si="5"/>
        <v>20.500000000000274</v>
      </c>
      <c r="L40" s="61">
        <f t="shared" si="7"/>
        <v>19.605300820910543</v>
      </c>
      <c r="M40" s="61">
        <f t="shared" si="8"/>
        <v>18.71423196663291</v>
      </c>
      <c r="N40" s="61">
        <f t="shared" si="9"/>
        <v>0</v>
      </c>
      <c r="O40" s="61">
        <f t="shared" si="10"/>
        <v>0</v>
      </c>
      <c r="P40" s="61">
        <f t="shared" si="11"/>
        <v>0</v>
      </c>
      <c r="Q40" s="61">
        <f t="shared" si="12"/>
        <v>0</v>
      </c>
      <c r="R40" s="61">
        <f t="shared" si="13"/>
        <v>0</v>
      </c>
      <c r="S40" s="61">
        <f t="shared" si="14"/>
        <v>0</v>
      </c>
      <c r="T40" s="61">
        <f t="shared" si="15"/>
        <v>0</v>
      </c>
      <c r="U40" s="61">
        <f t="shared" si="16"/>
        <v>0</v>
      </c>
      <c r="V40" s="61">
        <f t="shared" si="17"/>
        <v>0</v>
      </c>
      <c r="W40" s="61">
        <f t="shared" si="18"/>
        <v>0</v>
      </c>
      <c r="X40" s="61">
        <f t="shared" si="19"/>
        <v>0</v>
      </c>
      <c r="Y40" s="61">
        <f t="shared" si="20"/>
        <v>0</v>
      </c>
      <c r="Z40" s="61">
        <f t="shared" si="21"/>
        <v>0</v>
      </c>
      <c r="AA40" s="61">
        <f t="shared" si="22"/>
        <v>0</v>
      </c>
      <c r="AB40" s="61">
        <f t="shared" si="23"/>
        <v>0</v>
      </c>
      <c r="AC40" s="61">
        <f t="shared" si="24"/>
        <v>0</v>
      </c>
      <c r="AD40" s="61">
        <f t="shared" si="25"/>
        <v>0</v>
      </c>
      <c r="AE40" s="61">
        <f t="shared" si="26"/>
        <v>0</v>
      </c>
      <c r="AF40" s="61">
        <f aca="true" t="shared" si="27" ref="AF40:AF52">+IF(ISERROR((POWER(POWER(1+$C$5,1/12),$B40-21)-1)*$C$38),0,((POWER(POWER(1+$C$5,1/12),$B40-21)-1)*$C$38))</f>
        <v>0</v>
      </c>
      <c r="AG40" s="61">
        <f>+IF(ISERROR((POWER(POWER(1+$C$5,1/12),$B40-22)-1)*$C$39),0,((POWER(POWER(1+$C$5,1/12),$B40-22)-1)*$C$39))</f>
        <v>0</v>
      </c>
      <c r="AH40" s="62"/>
      <c r="AI40" s="62"/>
      <c r="AJ40" s="62"/>
      <c r="AK40" s="62"/>
      <c r="AN40" s="62"/>
      <c r="AO40" s="62"/>
      <c r="AP40" s="62"/>
      <c r="AQ40" s="62"/>
      <c r="AV40" s="11"/>
      <c r="AW40" s="11"/>
      <c r="AX40" s="11"/>
      <c r="AY40" s="11"/>
    </row>
    <row r="41" spans="1:51" ht="13.5">
      <c r="A41" s="11"/>
      <c r="B41" s="63">
        <f aca="true" t="shared" si="28" ref="B41:B52">+B40+1</f>
        <v>25</v>
      </c>
      <c r="C41" s="64"/>
      <c r="D41" s="65">
        <f>+SUM($C$17:C41)</f>
        <v>600</v>
      </c>
      <c r="E41" s="65">
        <f t="shared" si="6"/>
        <v>61.50364511520556</v>
      </c>
      <c r="F41" s="120">
        <f t="shared" si="0"/>
        <v>0</v>
      </c>
      <c r="G41" s="65">
        <f t="shared" si="3"/>
        <v>200</v>
      </c>
      <c r="H41" s="65">
        <f t="shared" si="4"/>
        <v>20.501215038401856</v>
      </c>
      <c r="I41" s="60">
        <f>(SUM($F$17:F41)+H40)*(((1+$C$5)^(1/12))-1)</f>
        <v>0.8947041092206094</v>
      </c>
      <c r="J41" s="61">
        <f t="shared" si="1"/>
        <v>0</v>
      </c>
      <c r="K41" s="61">
        <f t="shared" si="5"/>
        <v>21.398344294294745</v>
      </c>
      <c r="L41" s="61">
        <f t="shared" si="7"/>
        <v>20.500000000000274</v>
      </c>
      <c r="M41" s="61">
        <f t="shared" si="8"/>
        <v>19.605300820910543</v>
      </c>
      <c r="N41" s="61">
        <f t="shared" si="9"/>
        <v>0</v>
      </c>
      <c r="O41" s="61">
        <f t="shared" si="10"/>
        <v>0</v>
      </c>
      <c r="P41" s="61">
        <f t="shared" si="11"/>
        <v>0</v>
      </c>
      <c r="Q41" s="61">
        <f t="shared" si="12"/>
        <v>0</v>
      </c>
      <c r="R41" s="61">
        <f t="shared" si="13"/>
        <v>0</v>
      </c>
      <c r="S41" s="61">
        <f t="shared" si="14"/>
        <v>0</v>
      </c>
      <c r="T41" s="61">
        <f t="shared" si="15"/>
        <v>0</v>
      </c>
      <c r="U41" s="61">
        <f t="shared" si="16"/>
        <v>0</v>
      </c>
      <c r="V41" s="61">
        <f t="shared" si="17"/>
        <v>0</v>
      </c>
      <c r="W41" s="61">
        <f t="shared" si="18"/>
        <v>0</v>
      </c>
      <c r="X41" s="61">
        <f t="shared" si="19"/>
        <v>0</v>
      </c>
      <c r="Y41" s="61">
        <f t="shared" si="20"/>
        <v>0</v>
      </c>
      <c r="Z41" s="61">
        <f t="shared" si="21"/>
        <v>0</v>
      </c>
      <c r="AA41" s="61">
        <f t="shared" si="22"/>
        <v>0</v>
      </c>
      <c r="AB41" s="61">
        <f t="shared" si="23"/>
        <v>0</v>
      </c>
      <c r="AC41" s="61">
        <f t="shared" si="24"/>
        <v>0</v>
      </c>
      <c r="AD41" s="61">
        <f t="shared" si="25"/>
        <v>0</v>
      </c>
      <c r="AE41" s="61">
        <f t="shared" si="26"/>
        <v>0</v>
      </c>
      <c r="AF41" s="61">
        <f t="shared" si="27"/>
        <v>0</v>
      </c>
      <c r="AG41" s="61">
        <f aca="true" t="shared" si="29" ref="AG41:AG52">+IF(ISERROR((POWER(POWER(1+$C$5,1/12),$B41-22)-1)*$C$39),0,((POWER(POWER(1+$C$5,1/12),$B41-22)-1)*$C$39))</f>
        <v>0</v>
      </c>
      <c r="AH41" s="61">
        <f>+IF(ISERROR((POWER(POWER(1+$C$5,1/12),$B41-23)-1)*$C$40),0,((POWER(POWER(1+$C$5,1/12),$B41-23)-1)*$C$40))</f>
        <v>0</v>
      </c>
      <c r="AI41" s="62"/>
      <c r="AJ41" s="62"/>
      <c r="AK41" s="62"/>
      <c r="AN41" s="62"/>
      <c r="AO41" s="62"/>
      <c r="AP41" s="62"/>
      <c r="AQ41" s="62"/>
      <c r="AV41" s="11"/>
      <c r="AW41" s="11"/>
      <c r="AX41" s="11"/>
      <c r="AY41" s="11"/>
    </row>
    <row r="42" spans="1:51" ht="13.5">
      <c r="A42" s="11"/>
      <c r="B42" s="63">
        <f t="shared" si="28"/>
        <v>26</v>
      </c>
      <c r="C42" s="64"/>
      <c r="D42" s="65">
        <f>+SUM($C$17:C42)</f>
        <v>600</v>
      </c>
      <c r="E42" s="65">
        <f t="shared" si="6"/>
        <v>64.19869284873951</v>
      </c>
      <c r="F42" s="120">
        <f t="shared" si="0"/>
        <v>0</v>
      </c>
      <c r="G42" s="65">
        <f t="shared" si="3"/>
        <v>200</v>
      </c>
      <c r="H42" s="65">
        <f t="shared" si="4"/>
        <v>21.39956428291317</v>
      </c>
      <c r="I42" s="60">
        <f>(SUM($F$17:F42)+H41)*(((1+$C$5)^(1/12))-1)</f>
        <v>0.8983492445113129</v>
      </c>
      <c r="J42" s="61">
        <f t="shared" si="1"/>
        <v>0</v>
      </c>
      <c r="K42" s="61">
        <f t="shared" si="5"/>
        <v>22.300348554444493</v>
      </c>
      <c r="L42" s="61">
        <f t="shared" si="7"/>
        <v>21.398344294294745</v>
      </c>
      <c r="M42" s="61">
        <f t="shared" si="8"/>
        <v>20.500000000000274</v>
      </c>
      <c r="N42" s="61">
        <f t="shared" si="9"/>
        <v>0</v>
      </c>
      <c r="O42" s="61">
        <f t="shared" si="10"/>
        <v>0</v>
      </c>
      <c r="P42" s="61">
        <f t="shared" si="11"/>
        <v>0</v>
      </c>
      <c r="Q42" s="61">
        <f t="shared" si="12"/>
        <v>0</v>
      </c>
      <c r="R42" s="61">
        <f t="shared" si="13"/>
        <v>0</v>
      </c>
      <c r="S42" s="61">
        <f t="shared" si="14"/>
        <v>0</v>
      </c>
      <c r="T42" s="61">
        <f t="shared" si="15"/>
        <v>0</v>
      </c>
      <c r="U42" s="61">
        <f t="shared" si="16"/>
        <v>0</v>
      </c>
      <c r="V42" s="61">
        <f t="shared" si="17"/>
        <v>0</v>
      </c>
      <c r="W42" s="61">
        <f t="shared" si="18"/>
        <v>0</v>
      </c>
      <c r="X42" s="61">
        <f t="shared" si="19"/>
        <v>0</v>
      </c>
      <c r="Y42" s="61">
        <f t="shared" si="20"/>
        <v>0</v>
      </c>
      <c r="Z42" s="61">
        <f t="shared" si="21"/>
        <v>0</v>
      </c>
      <c r="AA42" s="61">
        <f t="shared" si="22"/>
        <v>0</v>
      </c>
      <c r="AB42" s="61">
        <f t="shared" si="23"/>
        <v>0</v>
      </c>
      <c r="AC42" s="61">
        <f t="shared" si="24"/>
        <v>0</v>
      </c>
      <c r="AD42" s="61">
        <f t="shared" si="25"/>
        <v>0</v>
      </c>
      <c r="AE42" s="61">
        <f t="shared" si="26"/>
        <v>0</v>
      </c>
      <c r="AF42" s="61">
        <f t="shared" si="27"/>
        <v>0</v>
      </c>
      <c r="AG42" s="61">
        <f t="shared" si="29"/>
        <v>0</v>
      </c>
      <c r="AH42" s="61">
        <f aca="true" t="shared" si="30" ref="AH42:AH52">+IF(ISERROR((POWER(POWER(1+$C$5,1/12),$B42-23)-1)*$C$40),0,((POWER(POWER(1+$C$5,1/12),$B42-23)-1)*$C$40))</f>
        <v>0</v>
      </c>
      <c r="AI42" s="61">
        <f>+IF(ISERROR((POWER(POWER(1+$C$5,1/12),$B42-24)-1)*$C$41),0,((POWER(POWER(1+$C$5,1/12),$B42-24)-1)*$C$41))</f>
        <v>0</v>
      </c>
      <c r="AJ42" s="62"/>
      <c r="AK42" s="62"/>
      <c r="AN42" s="62"/>
      <c r="AO42" s="62"/>
      <c r="AP42" s="62"/>
      <c r="AQ42" s="62"/>
      <c r="AV42" s="11"/>
      <c r="AW42" s="11"/>
      <c r="AX42" s="11"/>
      <c r="AY42" s="11"/>
    </row>
    <row r="43" spans="1:51" ht="13.5">
      <c r="A43" s="11"/>
      <c r="B43" s="63">
        <f t="shared" si="28"/>
        <v>27</v>
      </c>
      <c r="C43" s="64"/>
      <c r="D43" s="65">
        <f>+SUM($C$17:C43)</f>
        <v>600</v>
      </c>
      <c r="E43" s="65">
        <f t="shared" si="6"/>
        <v>66.90472054034271</v>
      </c>
      <c r="F43" s="120">
        <f t="shared" si="0"/>
        <v>0</v>
      </c>
      <c r="G43" s="65">
        <f t="shared" si="3"/>
        <v>200</v>
      </c>
      <c r="H43" s="65">
        <f t="shared" si="4"/>
        <v>22.30157351344757</v>
      </c>
      <c r="I43" s="60">
        <f>(SUM($F$17:F43)+H42)*(((1+$C$5)^(1/12))-1)</f>
        <v>0.9020092305343991</v>
      </c>
      <c r="J43" s="61">
        <f t="shared" si="1"/>
        <v>0</v>
      </c>
      <c r="K43" s="61">
        <f t="shared" si="5"/>
        <v>23.20602769160347</v>
      </c>
      <c r="L43" s="61">
        <f t="shared" si="7"/>
        <v>22.300348554444493</v>
      </c>
      <c r="M43" s="61">
        <f t="shared" si="8"/>
        <v>21.398344294294745</v>
      </c>
      <c r="N43" s="61">
        <f t="shared" si="9"/>
        <v>0</v>
      </c>
      <c r="O43" s="61">
        <f t="shared" si="10"/>
        <v>0</v>
      </c>
      <c r="P43" s="61">
        <f t="shared" si="11"/>
        <v>0</v>
      </c>
      <c r="Q43" s="61">
        <f t="shared" si="12"/>
        <v>0</v>
      </c>
      <c r="R43" s="61">
        <f t="shared" si="13"/>
        <v>0</v>
      </c>
      <c r="S43" s="61">
        <f t="shared" si="14"/>
        <v>0</v>
      </c>
      <c r="T43" s="61">
        <f t="shared" si="15"/>
        <v>0</v>
      </c>
      <c r="U43" s="61">
        <f t="shared" si="16"/>
        <v>0</v>
      </c>
      <c r="V43" s="61">
        <f t="shared" si="17"/>
        <v>0</v>
      </c>
      <c r="W43" s="61">
        <f t="shared" si="18"/>
        <v>0</v>
      </c>
      <c r="X43" s="61">
        <f t="shared" si="19"/>
        <v>0</v>
      </c>
      <c r="Y43" s="61">
        <f t="shared" si="20"/>
        <v>0</v>
      </c>
      <c r="Z43" s="61">
        <f t="shared" si="21"/>
        <v>0</v>
      </c>
      <c r="AA43" s="61">
        <f t="shared" si="22"/>
        <v>0</v>
      </c>
      <c r="AB43" s="61">
        <f t="shared" si="23"/>
        <v>0</v>
      </c>
      <c r="AC43" s="61">
        <f t="shared" si="24"/>
        <v>0</v>
      </c>
      <c r="AD43" s="61">
        <f t="shared" si="25"/>
        <v>0</v>
      </c>
      <c r="AE43" s="61">
        <f t="shared" si="26"/>
        <v>0</v>
      </c>
      <c r="AF43" s="61">
        <f t="shared" si="27"/>
        <v>0</v>
      </c>
      <c r="AG43" s="61">
        <f t="shared" si="29"/>
        <v>0</v>
      </c>
      <c r="AH43" s="61">
        <f t="shared" si="30"/>
        <v>0</v>
      </c>
      <c r="AI43" s="61">
        <f aca="true" t="shared" si="31" ref="AI43:AI52">+IF(ISERROR((POWER(POWER(1+$C$5,1/12),$B43-24)-1)*$C$41),0,((POWER(POWER(1+$C$5,1/12),$B43-24)-1)*$C$41))</f>
        <v>0</v>
      </c>
      <c r="AJ43" s="61">
        <f>+IF(ISERROR((POWER(POWER(1+$C$5,1/12),$B43-25)-1)*$C$42),0,((POWER(POWER(1+$C$5,1/12),$B43-25)-1)*$C$42))</f>
        <v>0</v>
      </c>
      <c r="AK43" s="62"/>
      <c r="AN43" s="62"/>
      <c r="AO43" s="62"/>
      <c r="AP43" s="62"/>
      <c r="AQ43" s="62"/>
      <c r="AV43" s="11"/>
      <c r="AW43" s="11"/>
      <c r="AX43" s="11"/>
      <c r="AY43" s="11"/>
    </row>
    <row r="44" spans="1:51" ht="13.5">
      <c r="A44" s="11"/>
      <c r="B44" s="63">
        <f t="shared" si="28"/>
        <v>28</v>
      </c>
      <c r="C44" s="64"/>
      <c r="D44" s="65">
        <f>+SUM($C$17:C44)</f>
        <v>600</v>
      </c>
      <c r="E44" s="65">
        <f t="shared" si="6"/>
        <v>69.62177292372348</v>
      </c>
      <c r="F44" s="120">
        <f t="shared" si="0"/>
        <v>0</v>
      </c>
      <c r="G44" s="65">
        <f t="shared" si="3"/>
        <v>200</v>
      </c>
      <c r="H44" s="65">
        <f t="shared" si="4"/>
        <v>23.207257641241156</v>
      </c>
      <c r="I44" s="60">
        <f>(SUM($F$17:F44)+H43)*(((1+$C$5)^(1/12))-1)</f>
        <v>0.9056841277935896</v>
      </c>
      <c r="J44" s="61">
        <f t="shared" si="1"/>
        <v>0</v>
      </c>
      <c r="K44" s="61">
        <f t="shared" si="5"/>
        <v>24.115396677675527</v>
      </c>
      <c r="L44" s="61">
        <f t="shared" si="7"/>
        <v>23.20602769160347</v>
      </c>
      <c r="M44" s="61">
        <f t="shared" si="8"/>
        <v>22.300348554444493</v>
      </c>
      <c r="N44" s="61">
        <f t="shared" si="9"/>
        <v>0</v>
      </c>
      <c r="O44" s="61">
        <f t="shared" si="10"/>
        <v>0</v>
      </c>
      <c r="P44" s="61">
        <f t="shared" si="11"/>
        <v>0</v>
      </c>
      <c r="Q44" s="61">
        <f t="shared" si="12"/>
        <v>0</v>
      </c>
      <c r="R44" s="61">
        <f t="shared" si="13"/>
        <v>0</v>
      </c>
      <c r="S44" s="61">
        <f t="shared" si="14"/>
        <v>0</v>
      </c>
      <c r="T44" s="61">
        <f t="shared" si="15"/>
        <v>0</v>
      </c>
      <c r="U44" s="61">
        <f t="shared" si="16"/>
        <v>0</v>
      </c>
      <c r="V44" s="61">
        <f t="shared" si="17"/>
        <v>0</v>
      </c>
      <c r="W44" s="61">
        <f t="shared" si="18"/>
        <v>0</v>
      </c>
      <c r="X44" s="61">
        <f t="shared" si="19"/>
        <v>0</v>
      </c>
      <c r="Y44" s="61">
        <f t="shared" si="20"/>
        <v>0</v>
      </c>
      <c r="Z44" s="61">
        <f t="shared" si="21"/>
        <v>0</v>
      </c>
      <c r="AA44" s="61">
        <f t="shared" si="22"/>
        <v>0</v>
      </c>
      <c r="AB44" s="61">
        <f t="shared" si="23"/>
        <v>0</v>
      </c>
      <c r="AC44" s="61">
        <f t="shared" si="24"/>
        <v>0</v>
      </c>
      <c r="AD44" s="61">
        <f t="shared" si="25"/>
        <v>0</v>
      </c>
      <c r="AE44" s="61">
        <f t="shared" si="26"/>
        <v>0</v>
      </c>
      <c r="AF44" s="61">
        <f t="shared" si="27"/>
        <v>0</v>
      </c>
      <c r="AG44" s="61">
        <f t="shared" si="29"/>
        <v>0</v>
      </c>
      <c r="AH44" s="61">
        <f t="shared" si="30"/>
        <v>0</v>
      </c>
      <c r="AI44" s="61">
        <f t="shared" si="31"/>
        <v>0</v>
      </c>
      <c r="AJ44" s="61">
        <f aca="true" t="shared" si="32" ref="AJ44:AJ52">+IF(ISERROR((POWER(POWER(1+$C$5,1/12),$B44-25)-1)*$C$42),0,((POWER(POWER(1+$C$5,1/12),$B44-25)-1)*$C$42))</f>
        <v>0</v>
      </c>
      <c r="AK44" s="61">
        <f>+IF(ISERROR((POWER(POWER(1+$C$5,1/12),$B44-26)-1)*$C$43),0,((POWER(POWER(1+$C$5,1/12),$B44-26)-1)*$C$43))</f>
        <v>0</v>
      </c>
      <c r="AN44" s="62"/>
      <c r="AO44" s="62"/>
      <c r="AP44" s="62"/>
      <c r="AQ44" s="62"/>
      <c r="AV44" s="11"/>
      <c r="AW44" s="11"/>
      <c r="AX44" s="11"/>
      <c r="AY44" s="11"/>
    </row>
    <row r="45" spans="1:51" ht="13.5">
      <c r="A45" s="11"/>
      <c r="B45" s="63">
        <f t="shared" si="28"/>
        <v>29</v>
      </c>
      <c r="C45" s="64"/>
      <c r="D45" s="65">
        <f>+SUM($C$17:C45)</f>
        <v>600</v>
      </c>
      <c r="E45" s="65">
        <f t="shared" si="6"/>
        <v>72.3498949148408</v>
      </c>
      <c r="F45" s="120">
        <f t="shared" si="0"/>
        <v>0</v>
      </c>
      <c r="G45" s="65">
        <f t="shared" si="3"/>
        <v>200</v>
      </c>
      <c r="H45" s="65">
        <f t="shared" si="4"/>
        <v>24.116631638280264</v>
      </c>
      <c r="I45" s="60">
        <f>(SUM($F$17:F45)+H44)*(((1+$C$5)^(1/12))-1)</f>
        <v>0.9093739970391063</v>
      </c>
      <c r="J45" s="61">
        <f t="shared" si="1"/>
        <v>0</v>
      </c>
      <c r="K45" s="61">
        <f t="shared" si="5"/>
        <v>25.02847054556181</v>
      </c>
      <c r="L45" s="61">
        <f t="shared" si="7"/>
        <v>24.115396677675527</v>
      </c>
      <c r="M45" s="61">
        <f t="shared" si="8"/>
        <v>23.20602769160347</v>
      </c>
      <c r="N45" s="61">
        <f t="shared" si="9"/>
        <v>0</v>
      </c>
      <c r="O45" s="61">
        <f t="shared" si="10"/>
        <v>0</v>
      </c>
      <c r="P45" s="61">
        <f t="shared" si="11"/>
        <v>0</v>
      </c>
      <c r="Q45" s="61">
        <f t="shared" si="12"/>
        <v>0</v>
      </c>
      <c r="R45" s="61">
        <f t="shared" si="13"/>
        <v>0</v>
      </c>
      <c r="S45" s="61">
        <f t="shared" si="14"/>
        <v>0</v>
      </c>
      <c r="T45" s="61">
        <f t="shared" si="15"/>
        <v>0</v>
      </c>
      <c r="U45" s="61">
        <f t="shared" si="16"/>
        <v>0</v>
      </c>
      <c r="V45" s="61">
        <f t="shared" si="17"/>
        <v>0</v>
      </c>
      <c r="W45" s="61">
        <f t="shared" si="18"/>
        <v>0</v>
      </c>
      <c r="X45" s="61">
        <f t="shared" si="19"/>
        <v>0</v>
      </c>
      <c r="Y45" s="61">
        <f t="shared" si="20"/>
        <v>0</v>
      </c>
      <c r="Z45" s="61">
        <f t="shared" si="21"/>
        <v>0</v>
      </c>
      <c r="AA45" s="61">
        <f t="shared" si="22"/>
        <v>0</v>
      </c>
      <c r="AB45" s="61">
        <f t="shared" si="23"/>
        <v>0</v>
      </c>
      <c r="AC45" s="61">
        <f t="shared" si="24"/>
        <v>0</v>
      </c>
      <c r="AD45" s="61">
        <f t="shared" si="25"/>
        <v>0</v>
      </c>
      <c r="AE45" s="61">
        <f t="shared" si="26"/>
        <v>0</v>
      </c>
      <c r="AF45" s="61">
        <f t="shared" si="27"/>
        <v>0</v>
      </c>
      <c r="AG45" s="61">
        <f t="shared" si="29"/>
        <v>0</v>
      </c>
      <c r="AH45" s="61">
        <f t="shared" si="30"/>
        <v>0</v>
      </c>
      <c r="AI45" s="61">
        <f t="shared" si="31"/>
        <v>0</v>
      </c>
      <c r="AJ45" s="61">
        <f t="shared" si="32"/>
        <v>0</v>
      </c>
      <c r="AK45" s="61">
        <f aca="true" t="shared" si="33" ref="AK45:AK52">+IF(ISERROR((POWER(POWER(1+$C$5,1/12),$B45-26)-1)*$C$43),0,((POWER(POWER(1+$C$5,1/12),$B45-26)-1)*$C$43))</f>
        <v>0</v>
      </c>
      <c r="AL45" s="61">
        <f>+IF(ISERROR((POWER(POWER(1+$C$5,1/12),$B45-27)-1)*$C$44),0,((POWER(POWER(1+$C$5,1/12),$B45-27)-1)*$C$44))</f>
        <v>0</v>
      </c>
      <c r="AN45" s="62"/>
      <c r="AO45" s="62"/>
      <c r="AP45" s="62"/>
      <c r="AQ45" s="62"/>
      <c r="AV45" s="11"/>
      <c r="AW45" s="11"/>
      <c r="AX45" s="11"/>
      <c r="AY45" s="11"/>
    </row>
    <row r="46" spans="1:51" ht="13.5">
      <c r="A46" s="11"/>
      <c r="B46" s="63">
        <f t="shared" si="28"/>
        <v>30</v>
      </c>
      <c r="C46" s="64"/>
      <c r="D46" s="65">
        <f>+SUM($C$17:C46)</f>
        <v>600</v>
      </c>
      <c r="E46" s="65">
        <f t="shared" si="6"/>
        <v>75.08913161264684</v>
      </c>
      <c r="F46" s="120">
        <f t="shared" si="0"/>
        <v>0</v>
      </c>
      <c r="G46" s="65">
        <f t="shared" si="3"/>
        <v>200</v>
      </c>
      <c r="H46" s="65">
        <f t="shared" si="4"/>
        <v>25.02971053754894</v>
      </c>
      <c r="I46" s="60">
        <f>(SUM($F$17:F46)+H45)*(((1+$C$5)^(1/12))-1)</f>
        <v>0.9130788992686747</v>
      </c>
      <c r="J46" s="61">
        <f t="shared" si="1"/>
        <v>0</v>
      </c>
      <c r="K46" s="61">
        <f t="shared" si="5"/>
        <v>25.945264389409495</v>
      </c>
      <c r="L46" s="61">
        <f t="shared" si="7"/>
        <v>25.02847054556181</v>
      </c>
      <c r="M46" s="61">
        <f t="shared" si="8"/>
        <v>24.115396677675527</v>
      </c>
      <c r="N46" s="61">
        <f t="shared" si="9"/>
        <v>0</v>
      </c>
      <c r="O46" s="61">
        <f t="shared" si="10"/>
        <v>0</v>
      </c>
      <c r="P46" s="61">
        <f t="shared" si="11"/>
        <v>0</v>
      </c>
      <c r="Q46" s="61">
        <f t="shared" si="12"/>
        <v>0</v>
      </c>
      <c r="R46" s="61">
        <f t="shared" si="13"/>
        <v>0</v>
      </c>
      <c r="S46" s="61">
        <f t="shared" si="14"/>
        <v>0</v>
      </c>
      <c r="T46" s="61">
        <f t="shared" si="15"/>
        <v>0</v>
      </c>
      <c r="U46" s="61">
        <f t="shared" si="16"/>
        <v>0</v>
      </c>
      <c r="V46" s="61">
        <f t="shared" si="17"/>
        <v>0</v>
      </c>
      <c r="W46" s="61">
        <f t="shared" si="18"/>
        <v>0</v>
      </c>
      <c r="X46" s="61">
        <f t="shared" si="19"/>
        <v>0</v>
      </c>
      <c r="Y46" s="61">
        <f t="shared" si="20"/>
        <v>0</v>
      </c>
      <c r="Z46" s="61">
        <f t="shared" si="21"/>
        <v>0</v>
      </c>
      <c r="AA46" s="61">
        <f t="shared" si="22"/>
        <v>0</v>
      </c>
      <c r="AB46" s="61">
        <f t="shared" si="23"/>
        <v>0</v>
      </c>
      <c r="AC46" s="61">
        <f t="shared" si="24"/>
        <v>0</v>
      </c>
      <c r="AD46" s="61">
        <f t="shared" si="25"/>
        <v>0</v>
      </c>
      <c r="AE46" s="61">
        <f t="shared" si="26"/>
        <v>0</v>
      </c>
      <c r="AF46" s="61">
        <f t="shared" si="27"/>
        <v>0</v>
      </c>
      <c r="AG46" s="61">
        <f t="shared" si="29"/>
        <v>0</v>
      </c>
      <c r="AH46" s="61">
        <f t="shared" si="30"/>
        <v>0</v>
      </c>
      <c r="AI46" s="61">
        <f t="shared" si="31"/>
        <v>0</v>
      </c>
      <c r="AJ46" s="61">
        <f t="shared" si="32"/>
        <v>0</v>
      </c>
      <c r="AK46" s="61">
        <f t="shared" si="33"/>
        <v>0</v>
      </c>
      <c r="AL46" s="61">
        <f aca="true" t="shared" si="34" ref="AL46:AL52">+IF(ISERROR((POWER(POWER(1+$C$5,1/12),$B46-27)-1)*$C$44),0,((POWER(POWER(1+$C$5,1/12),$B46-27)-1)*$C$44))</f>
        <v>0</v>
      </c>
      <c r="AM46" s="61">
        <f>+IF(ISERROR((POWER(POWER(1+$C$5,1/12),$B46-28)-1)*$C$45),0,((POWER(POWER(1+$C$5,1/12),$B46-28)-1)*$C$45))</f>
        <v>0</v>
      </c>
      <c r="AN46" s="62"/>
      <c r="AO46" s="62"/>
      <c r="AP46" s="62"/>
      <c r="AQ46" s="62"/>
      <c r="AV46" s="11"/>
      <c r="AW46" s="11"/>
      <c r="AX46" s="11"/>
      <c r="AY46" s="11"/>
    </row>
    <row r="47" spans="1:51" ht="13.5">
      <c r="A47" s="11"/>
      <c r="B47" s="63">
        <f t="shared" si="28"/>
        <v>31</v>
      </c>
      <c r="C47" s="64"/>
      <c r="D47" s="65">
        <f>+SUM($C$17:C47)</f>
        <v>600</v>
      </c>
      <c r="E47" s="65">
        <f t="shared" si="6"/>
        <v>77.83952829983241</v>
      </c>
      <c r="F47" s="120">
        <f t="shared" si="0"/>
        <v>0</v>
      </c>
      <c r="G47" s="65">
        <f t="shared" si="3"/>
        <v>200</v>
      </c>
      <c r="H47" s="65">
        <f t="shared" si="4"/>
        <v>25.946509433277473</v>
      </c>
      <c r="I47" s="60">
        <f>(SUM($F$17:F47)+H46)*(((1+$C$5)^(1/12))-1)</f>
        <v>0.9167988957285327</v>
      </c>
      <c r="J47" s="61">
        <f t="shared" si="1"/>
        <v>0</v>
      </c>
      <c r="K47" s="61">
        <f t="shared" si="5"/>
        <v>26.8657933648611</v>
      </c>
      <c r="L47" s="61">
        <f t="shared" si="7"/>
        <v>25.945264389409495</v>
      </c>
      <c r="M47" s="61">
        <f t="shared" si="8"/>
        <v>25.02847054556181</v>
      </c>
      <c r="N47" s="61">
        <f t="shared" si="9"/>
        <v>0</v>
      </c>
      <c r="O47" s="61">
        <f t="shared" si="10"/>
        <v>0</v>
      </c>
      <c r="P47" s="61">
        <f t="shared" si="11"/>
        <v>0</v>
      </c>
      <c r="Q47" s="61">
        <f t="shared" si="12"/>
        <v>0</v>
      </c>
      <c r="R47" s="61">
        <f t="shared" si="13"/>
        <v>0</v>
      </c>
      <c r="S47" s="61">
        <f t="shared" si="14"/>
        <v>0</v>
      </c>
      <c r="T47" s="61">
        <f t="shared" si="15"/>
        <v>0</v>
      </c>
      <c r="U47" s="61">
        <f t="shared" si="16"/>
        <v>0</v>
      </c>
      <c r="V47" s="61">
        <f t="shared" si="17"/>
        <v>0</v>
      </c>
      <c r="W47" s="61">
        <f t="shared" si="18"/>
        <v>0</v>
      </c>
      <c r="X47" s="61">
        <f t="shared" si="19"/>
        <v>0</v>
      </c>
      <c r="Y47" s="61">
        <f t="shared" si="20"/>
        <v>0</v>
      </c>
      <c r="Z47" s="61">
        <f t="shared" si="21"/>
        <v>0</v>
      </c>
      <c r="AA47" s="61">
        <f t="shared" si="22"/>
        <v>0</v>
      </c>
      <c r="AB47" s="61">
        <f t="shared" si="23"/>
        <v>0</v>
      </c>
      <c r="AC47" s="61">
        <f t="shared" si="24"/>
        <v>0</v>
      </c>
      <c r="AD47" s="61">
        <f t="shared" si="25"/>
        <v>0</v>
      </c>
      <c r="AE47" s="61">
        <f t="shared" si="26"/>
        <v>0</v>
      </c>
      <c r="AF47" s="61">
        <f t="shared" si="27"/>
        <v>0</v>
      </c>
      <c r="AG47" s="61">
        <f t="shared" si="29"/>
        <v>0</v>
      </c>
      <c r="AH47" s="61">
        <f t="shared" si="30"/>
        <v>0</v>
      </c>
      <c r="AI47" s="61">
        <f t="shared" si="31"/>
        <v>0</v>
      </c>
      <c r="AJ47" s="61">
        <f t="shared" si="32"/>
        <v>0</v>
      </c>
      <c r="AK47" s="61">
        <f t="shared" si="33"/>
        <v>0</v>
      </c>
      <c r="AL47" s="61">
        <f t="shared" si="34"/>
        <v>0</v>
      </c>
      <c r="AM47" s="61">
        <f aca="true" t="shared" si="35" ref="AM47:AM52">+IF(ISERROR((POWER(POWER(1+$C$5,1/12),$B47-28)-1)*$C$45),0,((POWER(POWER(1+$C$5,1/12),$B47-28)-1)*$C$45))</f>
        <v>0</v>
      </c>
      <c r="AN47" s="61">
        <f aca="true" t="shared" si="36" ref="AN47:AN52">+IF(ISERROR((POWER(POWER(1+$C$5,1/12),$B47-29)-1)*$C$46),0,((POWER(POWER(1+$C$5,1/12),$B47-29)-1)*$C$46))</f>
        <v>0</v>
      </c>
      <c r="AO47" s="62"/>
      <c r="AP47" s="62"/>
      <c r="AQ47" s="62"/>
      <c r="AV47" s="11"/>
      <c r="AW47" s="11"/>
      <c r="AX47" s="11"/>
      <c r="AY47" s="11"/>
    </row>
    <row r="48" spans="1:51" ht="13.5">
      <c r="A48" s="11"/>
      <c r="B48" s="63">
        <f t="shared" si="28"/>
        <v>32</v>
      </c>
      <c r="C48" s="64"/>
      <c r="D48" s="65">
        <f>+SUM($C$17:C48)</f>
        <v>600</v>
      </c>
      <c r="E48" s="65">
        <f t="shared" si="6"/>
        <v>80.60113044357573</v>
      </c>
      <c r="F48" s="120">
        <f t="shared" si="0"/>
        <v>0</v>
      </c>
      <c r="G48" s="65">
        <f t="shared" si="3"/>
        <v>200</v>
      </c>
      <c r="H48" s="65">
        <f t="shared" si="4"/>
        <v>26.867043481191917</v>
      </c>
      <c r="I48" s="60">
        <f>(SUM($F$17:F48)+H47)*(((1+$C$5)^(1/12))-1)</f>
        <v>0.9205340479144428</v>
      </c>
      <c r="J48" s="61">
        <f t="shared" si="1"/>
        <v>0</v>
      </c>
      <c r="K48" s="61">
        <f t="shared" si="5"/>
        <v>27.790072689305134</v>
      </c>
      <c r="L48" s="61">
        <f t="shared" si="7"/>
        <v>26.8657933648611</v>
      </c>
      <c r="M48" s="61">
        <f t="shared" si="8"/>
        <v>25.945264389409495</v>
      </c>
      <c r="N48" s="61">
        <f t="shared" si="9"/>
        <v>0</v>
      </c>
      <c r="O48" s="61">
        <f t="shared" si="10"/>
        <v>0</v>
      </c>
      <c r="P48" s="61">
        <f t="shared" si="11"/>
        <v>0</v>
      </c>
      <c r="Q48" s="61">
        <f t="shared" si="12"/>
        <v>0</v>
      </c>
      <c r="R48" s="61">
        <f t="shared" si="13"/>
        <v>0</v>
      </c>
      <c r="S48" s="61">
        <f t="shared" si="14"/>
        <v>0</v>
      </c>
      <c r="T48" s="61">
        <f t="shared" si="15"/>
        <v>0</v>
      </c>
      <c r="U48" s="61">
        <f t="shared" si="16"/>
        <v>0</v>
      </c>
      <c r="V48" s="61">
        <f t="shared" si="17"/>
        <v>0</v>
      </c>
      <c r="W48" s="61">
        <f t="shared" si="18"/>
        <v>0</v>
      </c>
      <c r="X48" s="61">
        <f t="shared" si="19"/>
        <v>0</v>
      </c>
      <c r="Y48" s="61">
        <f t="shared" si="20"/>
        <v>0</v>
      </c>
      <c r="Z48" s="61">
        <f t="shared" si="21"/>
        <v>0</v>
      </c>
      <c r="AA48" s="61">
        <f t="shared" si="22"/>
        <v>0</v>
      </c>
      <c r="AB48" s="61">
        <f t="shared" si="23"/>
        <v>0</v>
      </c>
      <c r="AC48" s="61">
        <f t="shared" si="24"/>
        <v>0</v>
      </c>
      <c r="AD48" s="61">
        <f t="shared" si="25"/>
        <v>0</v>
      </c>
      <c r="AE48" s="61">
        <f t="shared" si="26"/>
        <v>0</v>
      </c>
      <c r="AF48" s="61">
        <f t="shared" si="27"/>
        <v>0</v>
      </c>
      <c r="AG48" s="61">
        <f t="shared" si="29"/>
        <v>0</v>
      </c>
      <c r="AH48" s="61">
        <f t="shared" si="30"/>
        <v>0</v>
      </c>
      <c r="AI48" s="61">
        <f t="shared" si="31"/>
        <v>0</v>
      </c>
      <c r="AJ48" s="61">
        <f t="shared" si="32"/>
        <v>0</v>
      </c>
      <c r="AK48" s="61">
        <f t="shared" si="33"/>
        <v>0</v>
      </c>
      <c r="AL48" s="61">
        <f t="shared" si="34"/>
        <v>0</v>
      </c>
      <c r="AM48" s="61">
        <f t="shared" si="35"/>
        <v>0</v>
      </c>
      <c r="AN48" s="61">
        <f t="shared" si="36"/>
        <v>0</v>
      </c>
      <c r="AO48" s="61">
        <f>+IF(ISERROR((POWER(POWER(1+$C$5,1/12),$B48-30)-1)*$C$47),0,((POWER(POWER(1+$C$5,1/12),$B48-30)-1)*$C$47))</f>
        <v>0</v>
      </c>
      <c r="AP48" s="62"/>
      <c r="AQ48" s="62"/>
      <c r="AV48" s="11"/>
      <c r="AW48" s="11"/>
      <c r="AX48" s="11"/>
      <c r="AY48" s="11"/>
    </row>
    <row r="49" spans="1:51" ht="13.5">
      <c r="A49" s="11"/>
      <c r="B49" s="63">
        <f t="shared" si="28"/>
        <v>33</v>
      </c>
      <c r="C49" s="64"/>
      <c r="D49" s="65">
        <f>+SUM($C$17:C49)</f>
        <v>600</v>
      </c>
      <c r="E49" s="65">
        <f t="shared" si="6"/>
        <v>83.37398369629386</v>
      </c>
      <c r="F49" s="120">
        <f t="shared" si="0"/>
        <v>0</v>
      </c>
      <c r="G49" s="65">
        <f t="shared" si="3"/>
        <v>200</v>
      </c>
      <c r="H49" s="65">
        <f t="shared" si="4"/>
        <v>27.791327898764628</v>
      </c>
      <c r="I49" s="60">
        <f>(SUM($F$17:F49)+H48)*(((1+$C$5)^(1/12))-1)</f>
        <v>0.9242844175727092</v>
      </c>
      <c r="J49" s="61">
        <f t="shared" si="1"/>
        <v>0</v>
      </c>
      <c r="K49" s="61">
        <f t="shared" si="5"/>
        <v>28.718117642127616</v>
      </c>
      <c r="L49" s="61">
        <f t="shared" si="7"/>
        <v>27.790072689305134</v>
      </c>
      <c r="M49" s="61">
        <f t="shared" si="8"/>
        <v>26.8657933648611</v>
      </c>
      <c r="N49" s="61">
        <f t="shared" si="9"/>
        <v>0</v>
      </c>
      <c r="O49" s="61">
        <f t="shared" si="10"/>
        <v>0</v>
      </c>
      <c r="P49" s="61">
        <f t="shared" si="11"/>
        <v>0</v>
      </c>
      <c r="Q49" s="61">
        <f t="shared" si="12"/>
        <v>0</v>
      </c>
      <c r="R49" s="61">
        <f t="shared" si="13"/>
        <v>0</v>
      </c>
      <c r="S49" s="61">
        <f t="shared" si="14"/>
        <v>0</v>
      </c>
      <c r="T49" s="61">
        <f t="shared" si="15"/>
        <v>0</v>
      </c>
      <c r="U49" s="61">
        <f t="shared" si="16"/>
        <v>0</v>
      </c>
      <c r="V49" s="61">
        <f t="shared" si="17"/>
        <v>0</v>
      </c>
      <c r="W49" s="61">
        <f t="shared" si="18"/>
        <v>0</v>
      </c>
      <c r="X49" s="61">
        <f t="shared" si="19"/>
        <v>0</v>
      </c>
      <c r="Y49" s="61">
        <f t="shared" si="20"/>
        <v>0</v>
      </c>
      <c r="Z49" s="61">
        <f t="shared" si="21"/>
        <v>0</v>
      </c>
      <c r="AA49" s="61">
        <f t="shared" si="22"/>
        <v>0</v>
      </c>
      <c r="AB49" s="61">
        <f t="shared" si="23"/>
        <v>0</v>
      </c>
      <c r="AC49" s="61">
        <f t="shared" si="24"/>
        <v>0</v>
      </c>
      <c r="AD49" s="61">
        <f t="shared" si="25"/>
        <v>0</v>
      </c>
      <c r="AE49" s="61">
        <f t="shared" si="26"/>
        <v>0</v>
      </c>
      <c r="AF49" s="61">
        <f t="shared" si="27"/>
        <v>0</v>
      </c>
      <c r="AG49" s="61">
        <f t="shared" si="29"/>
        <v>0</v>
      </c>
      <c r="AH49" s="61">
        <f t="shared" si="30"/>
        <v>0</v>
      </c>
      <c r="AI49" s="61">
        <f t="shared" si="31"/>
        <v>0</v>
      </c>
      <c r="AJ49" s="61">
        <f t="shared" si="32"/>
        <v>0</v>
      </c>
      <c r="AK49" s="61">
        <f t="shared" si="33"/>
        <v>0</v>
      </c>
      <c r="AL49" s="61">
        <f t="shared" si="34"/>
        <v>0</v>
      </c>
      <c r="AM49" s="61">
        <f t="shared" si="35"/>
        <v>0</v>
      </c>
      <c r="AN49" s="61">
        <f t="shared" si="36"/>
        <v>0</v>
      </c>
      <c r="AO49" s="61">
        <f>+IF(ISERROR((POWER(POWER(1+$C$5,1/12),$B49-30)-1)*$C$47),0,((POWER(POWER(1+$C$5,1/12),$B49-30)-1)*$C$47))</f>
        <v>0</v>
      </c>
      <c r="AP49" s="61">
        <f>+IF(ISERROR((POWER(POWER(1+$C$5,1/12),$B49-31)-1)*$C$48),0,((POWER(POWER(1+$C$5,1/12),$B49-31)-1)*$C$48))</f>
        <v>0</v>
      </c>
      <c r="AQ49" s="62"/>
      <c r="AV49" s="11"/>
      <c r="AW49" s="11"/>
      <c r="AX49" s="11"/>
      <c r="AY49" s="11"/>
    </row>
    <row r="50" spans="1:51" ht="13.5">
      <c r="A50" s="11"/>
      <c r="B50" s="63">
        <f t="shared" si="28"/>
        <v>34</v>
      </c>
      <c r="C50" s="64"/>
      <c r="D50" s="65">
        <f>+SUM($C$17:C50)</f>
        <v>600</v>
      </c>
      <c r="E50" s="65">
        <f t="shared" si="6"/>
        <v>86.15813389639743</v>
      </c>
      <c r="F50" s="120">
        <f t="shared" si="0"/>
        <v>0</v>
      </c>
      <c r="G50" s="65">
        <f t="shared" si="3"/>
        <v>200</v>
      </c>
      <c r="H50" s="65">
        <f t="shared" si="4"/>
        <v>28.719377965465824</v>
      </c>
      <c r="I50" s="60">
        <f>(SUM($F$17:F50)+H49)*(((1+$C$5)^(1/12))-1)</f>
        <v>0.9280500667011976</v>
      </c>
      <c r="J50" s="61">
        <f t="shared" si="1"/>
        <v>0</v>
      </c>
      <c r="K50" s="61">
        <f t="shared" si="5"/>
        <v>29.649943564964687</v>
      </c>
      <c r="L50" s="61">
        <f t="shared" si="7"/>
        <v>28.718117642127616</v>
      </c>
      <c r="M50" s="61">
        <f t="shared" si="8"/>
        <v>27.790072689305134</v>
      </c>
      <c r="N50" s="61">
        <f t="shared" si="9"/>
        <v>0</v>
      </c>
      <c r="O50" s="61">
        <f t="shared" si="10"/>
        <v>0</v>
      </c>
      <c r="P50" s="61">
        <f t="shared" si="11"/>
        <v>0</v>
      </c>
      <c r="Q50" s="61">
        <f t="shared" si="12"/>
        <v>0</v>
      </c>
      <c r="R50" s="61">
        <f t="shared" si="13"/>
        <v>0</v>
      </c>
      <c r="S50" s="61">
        <f t="shared" si="14"/>
        <v>0</v>
      </c>
      <c r="T50" s="61">
        <f t="shared" si="15"/>
        <v>0</v>
      </c>
      <c r="U50" s="61">
        <f t="shared" si="16"/>
        <v>0</v>
      </c>
      <c r="V50" s="61">
        <f t="shared" si="17"/>
        <v>0</v>
      </c>
      <c r="W50" s="61">
        <f t="shared" si="18"/>
        <v>0</v>
      </c>
      <c r="X50" s="61">
        <f t="shared" si="19"/>
        <v>0</v>
      </c>
      <c r="Y50" s="61">
        <f t="shared" si="20"/>
        <v>0</v>
      </c>
      <c r="Z50" s="61">
        <f t="shared" si="21"/>
        <v>0</v>
      </c>
      <c r="AA50" s="61">
        <f t="shared" si="22"/>
        <v>0</v>
      </c>
      <c r="AB50" s="61">
        <f t="shared" si="23"/>
        <v>0</v>
      </c>
      <c r="AC50" s="61">
        <f t="shared" si="24"/>
        <v>0</v>
      </c>
      <c r="AD50" s="61">
        <f t="shared" si="25"/>
        <v>0</v>
      </c>
      <c r="AE50" s="61">
        <f t="shared" si="26"/>
        <v>0</v>
      </c>
      <c r="AF50" s="61">
        <f t="shared" si="27"/>
        <v>0</v>
      </c>
      <c r="AG50" s="61">
        <f t="shared" si="29"/>
        <v>0</v>
      </c>
      <c r="AH50" s="61">
        <f t="shared" si="30"/>
        <v>0</v>
      </c>
      <c r="AI50" s="61">
        <f t="shared" si="31"/>
        <v>0</v>
      </c>
      <c r="AJ50" s="61">
        <f t="shared" si="32"/>
        <v>0</v>
      </c>
      <c r="AK50" s="61">
        <f t="shared" si="33"/>
        <v>0</v>
      </c>
      <c r="AL50" s="61">
        <f t="shared" si="34"/>
        <v>0</v>
      </c>
      <c r="AM50" s="61">
        <f t="shared" si="35"/>
        <v>0</v>
      </c>
      <c r="AN50" s="61">
        <f t="shared" si="36"/>
        <v>0</v>
      </c>
      <c r="AO50" s="61">
        <f>+IF(ISERROR((POWER(POWER(1+$C$5,1/12),$B50-30)-1)*$C$47),0,((POWER(POWER(1+$C$5,1/12),$B50-30)-1)*$C$47))</f>
        <v>0</v>
      </c>
      <c r="AP50" s="61">
        <f>+IF(ISERROR((POWER(POWER(1+$C$5,1/12),$B50-31)-1)*$C$48),0,((POWER(POWER(1+$C$5,1/12),$B50-31)-1)*$C$48))</f>
        <v>0</v>
      </c>
      <c r="AQ50" s="61">
        <f>+IF(ISERROR((POWER(POWER(1+$C$5,1/12),$B50-32)-1)*$C$49),0,((POWER(POWER(1+$C$5,1/12),$B50-32)-1)*$C$49))</f>
        <v>0</v>
      </c>
      <c r="AV50" s="11"/>
      <c r="AW50" s="11"/>
      <c r="AX50" s="11"/>
      <c r="AY50" s="11"/>
    </row>
    <row r="51" spans="1:51" ht="13.5">
      <c r="A51" s="11"/>
      <c r="B51" s="63">
        <f t="shared" si="28"/>
        <v>35</v>
      </c>
      <c r="C51" s="64"/>
      <c r="D51" s="65">
        <f>+SUM($C$17:C51)</f>
        <v>600</v>
      </c>
      <c r="E51" s="65">
        <f>+SUM(J51:AS51)</f>
        <v>88.95362706904852</v>
      </c>
      <c r="F51" s="120">
        <f t="shared" si="0"/>
        <v>0</v>
      </c>
      <c r="G51" s="65">
        <f t="shared" si="3"/>
        <v>200</v>
      </c>
      <c r="H51" s="65">
        <f t="shared" si="4"/>
        <v>29.651209023016186</v>
      </c>
      <c r="I51" s="60">
        <f>(SUM($F$17:F51)+H50)*(((1+$C$5)^(1/12))-1)</f>
        <v>0.9318310575503614</v>
      </c>
      <c r="J51" s="61">
        <f t="shared" si="1"/>
        <v>0</v>
      </c>
      <c r="K51" s="61">
        <f t="shared" si="5"/>
        <v>30.58556586195622</v>
      </c>
      <c r="L51" s="61">
        <f t="shared" si="7"/>
        <v>29.649943564964687</v>
      </c>
      <c r="M51" s="61">
        <f t="shared" si="8"/>
        <v>28.718117642127616</v>
      </c>
      <c r="N51" s="61">
        <f t="shared" si="9"/>
        <v>0</v>
      </c>
      <c r="O51" s="61">
        <f t="shared" si="10"/>
        <v>0</v>
      </c>
      <c r="P51" s="61">
        <f t="shared" si="11"/>
        <v>0</v>
      </c>
      <c r="Q51" s="61">
        <f t="shared" si="12"/>
        <v>0</v>
      </c>
      <c r="R51" s="61">
        <f t="shared" si="13"/>
        <v>0</v>
      </c>
      <c r="S51" s="61">
        <f t="shared" si="14"/>
        <v>0</v>
      </c>
      <c r="T51" s="61">
        <f t="shared" si="15"/>
        <v>0</v>
      </c>
      <c r="U51" s="61">
        <f t="shared" si="16"/>
        <v>0</v>
      </c>
      <c r="V51" s="61">
        <f t="shared" si="17"/>
        <v>0</v>
      </c>
      <c r="W51" s="61">
        <f t="shared" si="18"/>
        <v>0</v>
      </c>
      <c r="X51" s="61">
        <f t="shared" si="19"/>
        <v>0</v>
      </c>
      <c r="Y51" s="61">
        <f t="shared" si="20"/>
        <v>0</v>
      </c>
      <c r="Z51" s="61">
        <f t="shared" si="21"/>
        <v>0</v>
      </c>
      <c r="AA51" s="61">
        <f t="shared" si="22"/>
        <v>0</v>
      </c>
      <c r="AB51" s="61">
        <f t="shared" si="23"/>
        <v>0</v>
      </c>
      <c r="AC51" s="61">
        <f t="shared" si="24"/>
        <v>0</v>
      </c>
      <c r="AD51" s="61">
        <f t="shared" si="25"/>
        <v>0</v>
      </c>
      <c r="AE51" s="61">
        <f t="shared" si="26"/>
        <v>0</v>
      </c>
      <c r="AF51" s="61">
        <f t="shared" si="27"/>
        <v>0</v>
      </c>
      <c r="AG51" s="61">
        <f t="shared" si="29"/>
        <v>0</v>
      </c>
      <c r="AH51" s="61">
        <f t="shared" si="30"/>
        <v>0</v>
      </c>
      <c r="AI51" s="61">
        <f t="shared" si="31"/>
        <v>0</v>
      </c>
      <c r="AJ51" s="61">
        <f t="shared" si="32"/>
        <v>0</v>
      </c>
      <c r="AK51" s="61">
        <f t="shared" si="33"/>
        <v>0</v>
      </c>
      <c r="AL51" s="61">
        <f t="shared" si="34"/>
        <v>0</v>
      </c>
      <c r="AM51" s="61">
        <f t="shared" si="35"/>
        <v>0</v>
      </c>
      <c r="AN51" s="61">
        <f t="shared" si="36"/>
        <v>0</v>
      </c>
      <c r="AO51" s="61">
        <f>+IF(ISERROR((POWER(POWER(1+$C$5,1/12),$B51-30)-1)*$C$47),0,((POWER(POWER(1+$C$5,1/12),$B51-30)-1)*$C$47))</f>
        <v>0</v>
      </c>
      <c r="AP51" s="61">
        <f>+IF(ISERROR((POWER(POWER(1+$C$5,1/12),$B51-31)-1)*$C$48),0,((POWER(POWER(1+$C$5,1/12),$B51-31)-1)*$C$48))</f>
        <v>0</v>
      </c>
      <c r="AQ51" s="61">
        <f>+IF(ISERROR((POWER(POWER(1+$C$5,1/12),$B51-32)-1)*$C$49),0,((POWER(POWER(1+$C$5,1/12),$B51-32)-1)*$C$49))</f>
        <v>0</v>
      </c>
      <c r="AR51" s="61">
        <f>+IF(ISERROR((POWER(POWER(1+$C$5,1/12),$B51-33)-1)*$C$50),0,((POWER(POWER(1+$C$5,1/12),$B51-33)-1)*$C$50))</f>
        <v>0</v>
      </c>
      <c r="AV51" s="11"/>
      <c r="AW51" s="11"/>
      <c r="AX51" s="11"/>
      <c r="AY51" s="11"/>
    </row>
    <row r="52" spans="1:51" ht="13.5">
      <c r="A52" s="11"/>
      <c r="B52" s="63">
        <f t="shared" si="28"/>
        <v>36</v>
      </c>
      <c r="C52" s="64"/>
      <c r="D52" s="73">
        <f>+SUM($C$17:C52)</f>
        <v>600</v>
      </c>
      <c r="E52" s="73">
        <f>+SUM(J52:AS52)</f>
        <v>91.76050942692133</v>
      </c>
      <c r="F52" s="120">
        <f t="shared" si="0"/>
        <v>0</v>
      </c>
      <c r="G52" s="65">
        <f t="shared" si="3"/>
        <v>200</v>
      </c>
      <c r="H52" s="65">
        <f t="shared" si="4"/>
        <v>30.586836475640457</v>
      </c>
      <c r="I52" s="60">
        <f>(SUM($F$17:F52)+H51)*(((1+$C$5)^(1/12))-1)</f>
        <v>0.9356274526242696</v>
      </c>
      <c r="J52" s="61">
        <f t="shared" si="1"/>
        <v>0</v>
      </c>
      <c r="K52" s="61">
        <f t="shared" si="5"/>
        <v>31.525000000000425</v>
      </c>
      <c r="L52" s="61">
        <f t="shared" si="7"/>
        <v>30.58556586195622</v>
      </c>
      <c r="M52" s="61">
        <f t="shared" si="8"/>
        <v>29.649943564964687</v>
      </c>
      <c r="N52" s="61">
        <f t="shared" si="9"/>
        <v>0</v>
      </c>
      <c r="O52" s="61">
        <f t="shared" si="10"/>
        <v>0</v>
      </c>
      <c r="P52" s="61">
        <f t="shared" si="11"/>
        <v>0</v>
      </c>
      <c r="Q52" s="61">
        <f t="shared" si="12"/>
        <v>0</v>
      </c>
      <c r="R52" s="61">
        <f t="shared" si="13"/>
        <v>0</v>
      </c>
      <c r="S52" s="61">
        <f t="shared" si="14"/>
        <v>0</v>
      </c>
      <c r="T52" s="61">
        <f t="shared" si="15"/>
        <v>0</v>
      </c>
      <c r="U52" s="61">
        <f t="shared" si="16"/>
        <v>0</v>
      </c>
      <c r="V52" s="61">
        <f t="shared" si="17"/>
        <v>0</v>
      </c>
      <c r="W52" s="61">
        <f t="shared" si="18"/>
        <v>0</v>
      </c>
      <c r="X52" s="61">
        <f t="shared" si="19"/>
        <v>0</v>
      </c>
      <c r="Y52" s="61">
        <f t="shared" si="20"/>
        <v>0</v>
      </c>
      <c r="Z52" s="61">
        <f t="shared" si="21"/>
        <v>0</v>
      </c>
      <c r="AA52" s="61">
        <f t="shared" si="22"/>
        <v>0</v>
      </c>
      <c r="AB52" s="61">
        <f t="shared" si="23"/>
        <v>0</v>
      </c>
      <c r="AC52" s="61">
        <f t="shared" si="24"/>
        <v>0</v>
      </c>
      <c r="AD52" s="61">
        <f t="shared" si="25"/>
        <v>0</v>
      </c>
      <c r="AE52" s="61">
        <f t="shared" si="26"/>
        <v>0</v>
      </c>
      <c r="AF52" s="61">
        <f t="shared" si="27"/>
        <v>0</v>
      </c>
      <c r="AG52" s="61">
        <f t="shared" si="29"/>
        <v>0</v>
      </c>
      <c r="AH52" s="61">
        <f t="shared" si="30"/>
        <v>0</v>
      </c>
      <c r="AI52" s="61">
        <f t="shared" si="31"/>
        <v>0</v>
      </c>
      <c r="AJ52" s="61">
        <f t="shared" si="32"/>
        <v>0</v>
      </c>
      <c r="AK52" s="61">
        <f t="shared" si="33"/>
        <v>0</v>
      </c>
      <c r="AL52" s="61">
        <f t="shared" si="34"/>
        <v>0</v>
      </c>
      <c r="AM52" s="61">
        <f t="shared" si="35"/>
        <v>0</v>
      </c>
      <c r="AN52" s="61">
        <f t="shared" si="36"/>
        <v>0</v>
      </c>
      <c r="AO52" s="61">
        <f>+IF(ISERROR((POWER(POWER(1+$C$5,1/12),$B52-30)-1)*$C$47),0,((POWER(POWER(1+$C$5,1/12),$B52-30)-1)*$C$47))</f>
        <v>0</v>
      </c>
      <c r="AP52" s="61">
        <f>+IF(ISERROR((POWER(POWER(1+$C$5,1/12),$B52-31)-1)*$C$48),0,((POWER(POWER(1+$C$5,1/12),$B52-31)-1)*$C$48))</f>
        <v>0</v>
      </c>
      <c r="AQ52" s="61">
        <f>+IF(ISERROR((POWER(POWER(1+$C$5,1/12),$B52-32)-1)*$C$49),0,((POWER(POWER(1+$C$5,1/12),$B52-32)-1)*$C$49))</f>
        <v>0</v>
      </c>
      <c r="AR52" s="61">
        <f>+IF(ISERROR((POWER(POWER(1+$C$5,1/12),$B52-33)-1)*$C$50),0,((POWER(POWER(1+$C$5,1/12),$B52-33)-1)*$C$50))</f>
        <v>0</v>
      </c>
      <c r="AS52" s="61">
        <f>+IF(ISERROR((POWER(POWER(1+$C$5,1/12),$B52-34)-1)*$C$51),0,((POWER(POWER(1+$C$5,1/12),$B52-34)-1)*$C$51))</f>
        <v>0</v>
      </c>
      <c r="AV52" s="11"/>
      <c r="AW52" s="11"/>
      <c r="AX52" s="11"/>
      <c r="AY52" s="11"/>
    </row>
    <row r="53" spans="1:51" ht="13.5" customHeight="1">
      <c r="A53" s="11"/>
      <c r="B53" s="63">
        <v>1</v>
      </c>
      <c r="C53" s="74" t="s">
        <v>75</v>
      </c>
      <c r="D53" s="65">
        <f>MAX(D17:D52)</f>
        <v>600</v>
      </c>
      <c r="E53" s="65">
        <f aca="true" t="shared" si="37" ref="E53:E58">+IF(ISERROR((POWER(POWER(1+$C$5,1/12),B53)-1)*($D$53+MAX($E$17:$E$52))+MAX($E$17:$E$52)),0,(POWER(POWER(1+$C$5,1/12),B53)-1)*($D$53+MAX($E$17:$E$52))+MAX($E$17:$E$52))</f>
        <v>94.57882737096625</v>
      </c>
      <c r="F53" s="74" t="s">
        <v>75</v>
      </c>
      <c r="G53" s="95">
        <f>MAX(G17:G52)</f>
        <v>200</v>
      </c>
      <c r="H53" s="58">
        <f>I53+H52</f>
        <v>31.526275790322096</v>
      </c>
      <c r="I53" s="60">
        <f>(SUM($F$17:F53)+H52)*(((1+$C$5)^(1/12))-1)</f>
        <v>0.9394393146816405</v>
      </c>
      <c r="J53" s="75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N53" s="62"/>
      <c r="AO53" s="62"/>
      <c r="AP53" s="62"/>
      <c r="AQ53" s="62"/>
      <c r="AV53" s="11"/>
      <c r="AW53" s="11"/>
      <c r="AX53" s="11"/>
      <c r="AY53" s="11"/>
    </row>
    <row r="54" spans="1:51" ht="13.5">
      <c r="A54" s="11"/>
      <c r="B54" s="63">
        <f>+B53+1</f>
        <v>2</v>
      </c>
      <c r="C54" s="74"/>
      <c r="D54" s="65"/>
      <c r="E54" s="65">
        <f t="shared" si="37"/>
        <v>97.40862749117694</v>
      </c>
      <c r="F54" s="74"/>
      <c r="G54" s="95"/>
      <c r="H54" s="65">
        <f>I54+H53</f>
        <v>32.469542497058974</v>
      </c>
      <c r="I54" s="60">
        <f>(SUM($F$17:F54)+H53)*(((1+$C$5)^(1/12))-1)</f>
        <v>0.9432667067368793</v>
      </c>
      <c r="J54" s="75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N54" s="62"/>
      <c r="AO54" s="62"/>
      <c r="AP54" s="62"/>
      <c r="AQ54" s="62"/>
      <c r="AV54" s="11"/>
      <c r="AW54" s="11"/>
      <c r="AX54" s="11"/>
      <c r="AY54" s="11"/>
    </row>
    <row r="55" spans="1:51" ht="13.5">
      <c r="A55" s="11"/>
      <c r="B55" s="63">
        <f>+B54+1</f>
        <v>3</v>
      </c>
      <c r="C55" s="74"/>
      <c r="D55" s="65"/>
      <c r="E55" s="65">
        <f t="shared" si="37"/>
        <v>100.2499565673602</v>
      </c>
      <c r="F55" s="74"/>
      <c r="G55" s="95"/>
      <c r="H55" s="65">
        <f>I55+H54</f>
        <v>33.41665218912009</v>
      </c>
      <c r="I55" s="60">
        <f>(SUM($F$17:F55)+H54)*(((1+$C$5)^(1/12))-1)</f>
        <v>0.9471096920611196</v>
      </c>
      <c r="J55" s="75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N55" s="62"/>
      <c r="AO55" s="62"/>
      <c r="AP55" s="62"/>
      <c r="AQ55" s="62"/>
      <c r="AV55" s="11"/>
      <c r="AW55" s="11"/>
      <c r="AX55" s="11"/>
      <c r="AY55" s="11"/>
    </row>
    <row r="56" spans="1:51" ht="13.5">
      <c r="A56" s="11"/>
      <c r="B56" s="63">
        <f>+B55+1</f>
        <v>4</v>
      </c>
      <c r="C56" s="74"/>
      <c r="D56" s="65"/>
      <c r="E56" s="65">
        <f t="shared" si="37"/>
        <v>103.10286156991013</v>
      </c>
      <c r="F56" s="74"/>
      <c r="G56" s="95"/>
      <c r="H56" s="65">
        <f t="shared" si="4"/>
        <v>34.367620523303366</v>
      </c>
      <c r="I56" s="60">
        <f>(SUM($F$17:F56)+H55)*(((1+$C$5)^(1/12))-1)</f>
        <v>0.9509683341832698</v>
      </c>
      <c r="J56" s="75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N56" s="62"/>
      <c r="AO56" s="62"/>
      <c r="AP56" s="62"/>
      <c r="AQ56" s="62"/>
      <c r="AV56" s="11"/>
      <c r="AW56" s="11"/>
      <c r="AX56" s="11"/>
      <c r="AY56" s="11"/>
    </row>
    <row r="57" spans="1:51" ht="13.5">
      <c r="A57" s="11"/>
      <c r="B57" s="63">
        <f>+B56+1</f>
        <v>5</v>
      </c>
      <c r="C57" s="74"/>
      <c r="D57" s="65"/>
      <c r="E57" s="65">
        <f t="shared" si="37"/>
        <v>105.9673896605832</v>
      </c>
      <c r="F57" s="74"/>
      <c r="G57" s="95"/>
      <c r="H57" s="65">
        <f>I57+H56</f>
        <v>35.32246322019443</v>
      </c>
      <c r="I57" s="60">
        <f>(SUM($F$17:F57)+H56)*(((1+$C$5)^(1/12))-1)</f>
        <v>0.9548426968910623</v>
      </c>
      <c r="J57" s="75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N57" s="62"/>
      <c r="AO57" s="62"/>
      <c r="AP57" s="62"/>
      <c r="AQ57" s="62"/>
      <c r="AV57" s="11"/>
      <c r="AW57" s="11"/>
      <c r="AX57" s="11"/>
      <c r="AY57" s="11"/>
    </row>
    <row r="58" spans="1:51" ht="13.5">
      <c r="A58" s="11"/>
      <c r="B58" s="63">
        <f>+B57+1</f>
        <v>6</v>
      </c>
      <c r="C58" s="74"/>
      <c r="D58" s="65"/>
      <c r="E58" s="65">
        <f t="shared" si="37"/>
        <v>108.84358819327957</v>
      </c>
      <c r="F58" s="74"/>
      <c r="G58" s="95"/>
      <c r="H58" s="73">
        <f t="shared" si="4"/>
        <v>36.28119606442654</v>
      </c>
      <c r="I58" s="60">
        <f>(SUM($F$17:F58)+H57)*(((1+$C$5)^(1/12))-1)</f>
        <v>0.958732844232109</v>
      </c>
      <c r="J58" s="75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N58" s="62"/>
      <c r="AO58" s="62"/>
      <c r="AP58" s="62"/>
      <c r="AQ58" s="62"/>
      <c r="AV58" s="11"/>
      <c r="AW58" s="11"/>
      <c r="AX58" s="11"/>
      <c r="AY58" s="11"/>
    </row>
    <row r="59" spans="1:51" ht="21.75" customHeight="1">
      <c r="A59" s="11"/>
      <c r="B59" s="76"/>
      <c r="C59" s="96" t="s">
        <v>80</v>
      </c>
      <c r="D59" s="96"/>
      <c r="E59" s="97"/>
      <c r="F59" s="77" t="s">
        <v>77</v>
      </c>
      <c r="G59" s="77"/>
      <c r="H59" s="77"/>
      <c r="I59" s="60"/>
      <c r="J59" s="78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N59" s="62"/>
      <c r="AO59" s="62"/>
      <c r="AP59" s="62"/>
      <c r="AQ59" s="62"/>
      <c r="AV59" s="11"/>
      <c r="AW59" s="11"/>
      <c r="AX59" s="11"/>
      <c r="AY59" s="11"/>
    </row>
    <row r="60" spans="1:51" ht="13.5">
      <c r="A60" s="11"/>
      <c r="B60" s="121">
        <f>C5</f>
        <v>0.05</v>
      </c>
      <c r="C60" s="121"/>
      <c r="D60" s="81">
        <f>+D53+MAX(E53:E58)</f>
        <v>708.8435881932796</v>
      </c>
      <c r="E60" s="81"/>
      <c r="F60" s="122">
        <f>C5</f>
        <v>0.05</v>
      </c>
      <c r="G60" s="81">
        <f>+G53+MAX(H53:H58)</f>
        <v>236.28119606442652</v>
      </c>
      <c r="H60" s="81"/>
      <c r="I60" s="60"/>
      <c r="J60" s="78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N60" s="62"/>
      <c r="AO60" s="62"/>
      <c r="AP60" s="62"/>
      <c r="AQ60" s="62"/>
      <c r="AV60" s="11"/>
      <c r="AW60" s="11"/>
      <c r="AX60" s="11"/>
      <c r="AY60" s="11"/>
    </row>
    <row r="61" spans="1:51" ht="13.5">
      <c r="A61" s="11"/>
      <c r="B61" s="121"/>
      <c r="C61" s="121"/>
      <c r="D61" s="81"/>
      <c r="E61" s="81"/>
      <c r="F61" s="122"/>
      <c r="G61" s="81"/>
      <c r="H61" s="81"/>
      <c r="I61" s="60"/>
      <c r="J61" s="78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N61" s="62"/>
      <c r="AO61" s="62"/>
      <c r="AP61" s="62"/>
      <c r="AQ61" s="62"/>
      <c r="AV61" s="11"/>
      <c r="AW61" s="11"/>
      <c r="AX61" s="11"/>
      <c r="AY61" s="11"/>
    </row>
    <row r="62" spans="3:4" ht="13.5">
      <c r="C62" s="10"/>
      <c r="D62" s="10"/>
    </row>
    <row r="63" spans="3:4" ht="13.5">
      <c r="C63" s="10"/>
      <c r="D63" s="10"/>
    </row>
    <row r="64" spans="3:4" ht="13.5">
      <c r="C64" s="10"/>
      <c r="D64" s="10"/>
    </row>
  </sheetData>
  <sheetProtection sheet="1" objects="1" scenarios="1"/>
  <mergeCells count="14">
    <mergeCell ref="E2:H2"/>
    <mergeCell ref="AW2:AX2"/>
    <mergeCell ref="H11:AY11"/>
    <mergeCell ref="AO16:AQ31"/>
    <mergeCell ref="AW16:AY31"/>
    <mergeCell ref="C53:C58"/>
    <mergeCell ref="D53:D58"/>
    <mergeCell ref="F53:F58"/>
    <mergeCell ref="G53:G58"/>
    <mergeCell ref="F59:H59"/>
    <mergeCell ref="B60:C61"/>
    <mergeCell ref="D60:E61"/>
    <mergeCell ref="F60:F61"/>
    <mergeCell ref="G60:H61"/>
  </mergeCells>
  <printOptions/>
  <pageMargins left="0.7" right="0.7" top="0.75" bottom="0.75" header="0.5118055555555555" footer="0.5118055555555555"/>
  <pageSetup horizontalDpi="300" verticalDpi="300" orientation="portrait" paperSize="9" scale="5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hmonne</dc:creator>
  <cp:keywords/>
  <dc:description/>
  <cp:lastModifiedBy>Belisa Martínez</cp:lastModifiedBy>
  <cp:lastPrinted>2012-08-16T19:28:04Z</cp:lastPrinted>
  <dcterms:created xsi:type="dcterms:W3CDTF">2012-06-06T15:32:36Z</dcterms:created>
  <dcterms:modified xsi:type="dcterms:W3CDTF">2013-05-29T17:57:42Z</dcterms:modified>
  <cp:category/>
  <cp:version/>
  <cp:contentType/>
  <cp:contentStatus/>
</cp:coreProperties>
</file>